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tegroup.sharepoint.com/sites/Purchasing/Shared Documents/Tenders or Projects 2026/26P031 RTÉ Telephony Services Tender/Tender Documents Issued/"/>
    </mc:Choice>
  </mc:AlternateContent>
  <xr:revisionPtr revIDLastSave="164" documentId="8_{4CDABB95-5EAA-4155-8459-C55A8E70E723}" xr6:coauthVersionLast="47" xr6:coauthVersionMax="47" xr10:uidLastSave="{6BB06AD7-BE70-4471-AEDF-32A6A11913C9}"/>
  <bookViews>
    <workbookView xWindow="-165" yWindow="-165" windowWidth="20730" windowHeight="11130" tabRatio="683" xr2:uid="{00000000-000D-0000-FFFF-FFFF00000000}"/>
  </bookViews>
  <sheets>
    <sheet name="Lot 1 Mobiles" sheetId="17" r:id="rId1"/>
    <sheet name="Lot 2 Landline &amp; Circuits" sheetId="16" r:id="rId2"/>
    <sheet name="Lot 3 Combined" sheetId="18" r:id="rId3"/>
  </sheets>
  <definedNames>
    <definedName name="JR_PAGE_ANCHOR_0_1" localSheetId="0">#REF!</definedName>
    <definedName name="JR_PAGE_ANCHOR_0_1">#REF!</definedName>
    <definedName name="_xlnm.Print_Area" localSheetId="0">'Lot 1 Mobiles'!$A$1:$H$68</definedName>
    <definedName name="_xlnm.Print_Area" localSheetId="1">'Lot 2 Landline &amp; Circuits'!$A$1:$C$205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7" l="1"/>
  <c r="B25" i="17"/>
  <c r="B24" i="17"/>
  <c r="B23" i="17"/>
  <c r="B5" i="18" l="1"/>
  <c r="B3" i="18"/>
  <c r="E192" i="16"/>
  <c r="G68" i="17"/>
  <c r="B9" i="18"/>
  <c r="G67" i="17"/>
  <c r="B62" i="17"/>
  <c r="B61" i="17"/>
  <c r="B60" i="17"/>
  <c r="B59" i="17"/>
  <c r="B57" i="17"/>
  <c r="B56" i="17"/>
  <c r="B55" i="17"/>
  <c r="B54" i="17"/>
  <c r="B51" i="17"/>
  <c r="B50" i="17"/>
  <c r="C44" i="17"/>
  <c r="B44" i="17"/>
  <c r="C43" i="17"/>
  <c r="B43" i="17"/>
  <c r="C42" i="17"/>
  <c r="B42" i="17"/>
  <c r="B20" i="17"/>
  <c r="B19" i="17"/>
  <c r="B18" i="17"/>
  <c r="C87" i="16" l="1"/>
  <c r="B87" i="16"/>
  <c r="C81" i="16"/>
  <c r="B81" i="16"/>
  <c r="C75" i="16"/>
  <c r="B75" i="16"/>
  <c r="C69" i="16"/>
  <c r="B69" i="16"/>
  <c r="C63" i="16"/>
  <c r="B63" i="16"/>
  <c r="C57" i="16"/>
  <c r="B57" i="16"/>
  <c r="C51" i="16"/>
  <c r="B51" i="16"/>
  <c r="C45" i="16"/>
  <c r="B45" i="16"/>
  <c r="C39" i="16"/>
  <c r="B39" i="16"/>
  <c r="C33" i="16"/>
  <c r="B33" i="16"/>
  <c r="C25" i="16"/>
  <c r="B25" i="16"/>
  <c r="C19" i="16"/>
  <c r="B19" i="16"/>
  <c r="C13" i="16"/>
  <c r="B13" i="16"/>
  <c r="C7" i="16"/>
  <c r="B7" i="16"/>
  <c r="C157" i="16" l="1"/>
  <c r="B157" i="16"/>
  <c r="C149" i="16"/>
  <c r="B149" i="16"/>
  <c r="C143" i="16"/>
  <c r="B143" i="16"/>
  <c r="C137" i="16"/>
  <c r="B137" i="16"/>
  <c r="C125" i="16"/>
  <c r="B125" i="16"/>
  <c r="C119" i="16"/>
  <c r="B119" i="16"/>
  <c r="C113" i="16"/>
  <c r="B113" i="16"/>
  <c r="B170" i="16" l="1"/>
  <c r="C170" i="16"/>
</calcChain>
</file>

<file path=xl/sharedStrings.xml><?xml version="1.0" encoding="utf-8"?>
<sst xmlns="http://schemas.openxmlformats.org/spreadsheetml/2006/main" count="267" uniqueCount="250">
  <si>
    <t>YEAR TOTAL</t>
  </si>
  <si>
    <t>CALLS</t>
  </si>
  <si>
    <t>SECONDS</t>
  </si>
  <si>
    <t>Local - rate</t>
  </si>
  <si>
    <t>Local - min call rate</t>
  </si>
  <si>
    <t>Local - min call seconds</t>
  </si>
  <si>
    <t>Local - charge</t>
  </si>
  <si>
    <t>Local - min call charge</t>
  </si>
  <si>
    <t>National - rate</t>
  </si>
  <si>
    <t>National - min call rate</t>
  </si>
  <si>
    <t>National - min call seconds</t>
  </si>
  <si>
    <t>National - charge</t>
  </si>
  <si>
    <t>National - min call charge</t>
  </si>
  <si>
    <t>Dir Enq - min call rate</t>
  </si>
  <si>
    <t>Dir Enq - min call seconds</t>
  </si>
  <si>
    <t>Dir Enq - charge</t>
  </si>
  <si>
    <t>Dir Enq - min call charge</t>
  </si>
  <si>
    <t>UK - rate</t>
  </si>
  <si>
    <t>UK - min call rate</t>
  </si>
  <si>
    <t>UK - min call seconds</t>
  </si>
  <si>
    <t>UK - charge</t>
  </si>
  <si>
    <t>UK - min call charge</t>
  </si>
  <si>
    <t>Mobile UK - rate</t>
  </si>
  <si>
    <t>Mobile UK - min call rate</t>
  </si>
  <si>
    <t>Mobile UK - min call seconds</t>
  </si>
  <si>
    <t>Mobile UK - charge</t>
  </si>
  <si>
    <t>Mobile UK - min call charge</t>
  </si>
  <si>
    <t>Mobile Ireland - min call rate</t>
  </si>
  <si>
    <t>Mobile Ireland - min call seconds</t>
  </si>
  <si>
    <t>Mobile Ireland - charge</t>
  </si>
  <si>
    <t>Mobile Ireland - min call charge</t>
  </si>
  <si>
    <t>North America - rate</t>
  </si>
  <si>
    <t>North America - min call rate</t>
  </si>
  <si>
    <t>North America - min call seconds</t>
  </si>
  <si>
    <t>North America - charge</t>
  </si>
  <si>
    <t>North America - min call charge</t>
  </si>
  <si>
    <t>Near Europe - rate</t>
  </si>
  <si>
    <t>Near Europe - min call rate</t>
  </si>
  <si>
    <t>Near Europe - min call seconds</t>
  </si>
  <si>
    <t>Near Europe - charge</t>
  </si>
  <si>
    <t>Near Europe - min call charge</t>
  </si>
  <si>
    <t>Mid Europe - rate</t>
  </si>
  <si>
    <t>Mid Europe - min call rate</t>
  </si>
  <si>
    <t>Mid Europe - min call seconds</t>
  </si>
  <si>
    <t>Mid Europe - charge</t>
  </si>
  <si>
    <t>Mid Europe - min call charge</t>
  </si>
  <si>
    <t>Mobile - Near Europe - rate</t>
  </si>
  <si>
    <t>Mobile - Near Europe - min call rate</t>
  </si>
  <si>
    <t>Mobile - Near Europe - min call seconds</t>
  </si>
  <si>
    <t>Mobile - Near Europe - charge</t>
  </si>
  <si>
    <t>Mobile - Near Europe - min call charge</t>
  </si>
  <si>
    <t>Mobile - Mid Europe - rate</t>
  </si>
  <si>
    <t>Mobile - Mid Europe - min call rate</t>
  </si>
  <si>
    <t>Mobile - Mid Europe - min call seconds</t>
  </si>
  <si>
    <t>Mobile - Mid Europe - charge</t>
  </si>
  <si>
    <t>Mobile - Mid Europe - min call charge</t>
  </si>
  <si>
    <t>Mobile - Rest of World - rate</t>
  </si>
  <si>
    <t>Mobile - Rest of World - min call rate</t>
  </si>
  <si>
    <t>Mobile - Rest of World - min call seconds</t>
  </si>
  <si>
    <t>Mobile - Rest of World - charge</t>
  </si>
  <si>
    <t>Mobile - Rest of World - min call charge</t>
  </si>
  <si>
    <t>Far Europe+ - rate</t>
  </si>
  <si>
    <t>Far Europe+ - min call rate</t>
  </si>
  <si>
    <t>Far Europe+ - min call seconds</t>
  </si>
  <si>
    <t>Far Europe+ - charge</t>
  </si>
  <si>
    <t>Far Europe+ - min call charge</t>
  </si>
  <si>
    <t>Mobile Far Europe+ - rate</t>
  </si>
  <si>
    <t>Mobile Far Europe+ - min call rate</t>
  </si>
  <si>
    <t>Mobile Far Europe+ - min call seconds</t>
  </si>
  <si>
    <t>Mobile Far Europe+ - charge</t>
  </si>
  <si>
    <t>Mobile Far Europe+ - min call charge</t>
  </si>
  <si>
    <t>ANZ+ - rate</t>
  </si>
  <si>
    <t>ANZ+ - min call rate</t>
  </si>
  <si>
    <t>ANZ+ - min call seconds</t>
  </si>
  <si>
    <t>ANZ+ - charge</t>
  </si>
  <si>
    <t>ANZ+ - min call charge</t>
  </si>
  <si>
    <t>Mobile ANZ+ - rate</t>
  </si>
  <si>
    <t>Mobile ANZ+ - min call rate</t>
  </si>
  <si>
    <t>Mobile ANZ+ - min call seconds</t>
  </si>
  <si>
    <t>Mobile ANZ+ - charge</t>
  </si>
  <si>
    <t>Mobile ANZ+ - min call charge</t>
  </si>
  <si>
    <t>Rest of World - rate</t>
  </si>
  <si>
    <t>Rest of World - min call rate</t>
  </si>
  <si>
    <t>Rest of World - min call seconds</t>
  </si>
  <si>
    <t>Rest of World - charge</t>
  </si>
  <si>
    <t>Rest of World - min call charge</t>
  </si>
  <si>
    <t>Mobile-Band 8-Middle East - rate</t>
  </si>
  <si>
    <t>Mobile-Band 8-Middle East - min call rate</t>
  </si>
  <si>
    <t>Mobile-Band 8-Middle East - min call seconds</t>
  </si>
  <si>
    <t>Mobile-Band 8-Middle East - charge</t>
  </si>
  <si>
    <t>Mobile-Band 8-Middle East - min call charge</t>
  </si>
  <si>
    <t>Band 8-Middle East - rate</t>
  </si>
  <si>
    <t>Band 8-Middle East - min call rate</t>
  </si>
  <si>
    <t>Band 8-Middle East - min call seconds</t>
  </si>
  <si>
    <t>Band 8-Middle East - charge</t>
  </si>
  <si>
    <t>Band 8-Middle East - min call charge</t>
  </si>
  <si>
    <t>Mobile-Band 9-Pacific Rim - rate</t>
  </si>
  <si>
    <t>Mobile-Band 9-Pacific Rim - min call rate</t>
  </si>
  <si>
    <t>Mobile-Band 9-Pacific Rim - min call seconds</t>
  </si>
  <si>
    <t>Mobile-Band 9-Pacific Rim - charge</t>
  </si>
  <si>
    <t>Mobile-Band 9-Pacific Rim - min call charge</t>
  </si>
  <si>
    <t>Band 9-Pacific Rim - rate</t>
  </si>
  <si>
    <t>Band 9-Pacific Rim - min call rate</t>
  </si>
  <si>
    <t>Band 9-Pacific Rim - min call seconds</t>
  </si>
  <si>
    <t>Band 9-Pacific Rim - charge</t>
  </si>
  <si>
    <t>Band 9-Pacific Rim - min call charge</t>
  </si>
  <si>
    <t>Mexico/Caribbean - rate</t>
  </si>
  <si>
    <t>Mexico/Caribbean - min call rate</t>
  </si>
  <si>
    <t>Mexico/Caribbean - min call seconds</t>
  </si>
  <si>
    <t>Mexico/Caribbean - charge</t>
  </si>
  <si>
    <t>Mexico/Caribbean - min call charge</t>
  </si>
  <si>
    <t>Premium Rate Service - min call rate</t>
  </si>
  <si>
    <t>Premium Rate Service - min call seconds</t>
  </si>
  <si>
    <t>Premium Rate Service - charge</t>
  </si>
  <si>
    <t>Premium Rate Service - min call charge</t>
  </si>
  <si>
    <t>Mobile - Mexico/Caribbean - rate</t>
  </si>
  <si>
    <t>Mobile - Mexico/Caribbean - min call rate</t>
  </si>
  <si>
    <t>Mobile - Mexico/Caribbean - min call seconds</t>
  </si>
  <si>
    <t>Mobile - Mexico/Caribbean - charge</t>
  </si>
  <si>
    <t>Mobile - Mexico/Caribbean - min call charge</t>
  </si>
  <si>
    <t>CALLS TO OVERSEAS LANDLINES</t>
  </si>
  <si>
    <t>CALLS TO OVERSEAS MOBILES</t>
  </si>
  <si>
    <t>Mobile - North America - rate</t>
  </si>
  <si>
    <t>Mobile - North America - min call rate</t>
  </si>
  <si>
    <t>Mobile - North America - charge</t>
  </si>
  <si>
    <t>Mobile - North America - min call seconds</t>
  </si>
  <si>
    <t>Mobile - North America - min call charge</t>
  </si>
  <si>
    <t>OTHERS</t>
  </si>
  <si>
    <t>No.of Units</t>
  </si>
  <si>
    <t>Dir Enq - rate (11811)</t>
  </si>
  <si>
    <t>Mobile Ireland (Vodafone) - rate</t>
  </si>
  <si>
    <t>0818 - min call seconds</t>
  </si>
  <si>
    <t>0818 - charge</t>
  </si>
  <si>
    <t>0818 number</t>
  </si>
  <si>
    <t>0818 - call set up charge</t>
  </si>
  <si>
    <t>Package / Subscription charges</t>
  </si>
  <si>
    <t>Line Rental</t>
  </si>
  <si>
    <t>Premium Rate Service - call set up charge</t>
  </si>
  <si>
    <t>sip 10 ddi block</t>
  </si>
  <si>
    <t>ISDN Basic Line Rental</t>
  </si>
  <si>
    <t>PSTN - Line Rental</t>
  </si>
  <si>
    <t>ISDN Primary Line Rental</t>
  </si>
  <si>
    <t>Broadband Business basic</t>
  </si>
  <si>
    <t>Broadband Business fibre</t>
  </si>
  <si>
    <t>Locall 1818 rental</t>
  </si>
  <si>
    <t>Dir Enq - call set up charge</t>
  </si>
  <si>
    <t>Local - call set up charge</t>
  </si>
  <si>
    <t>National - call set up charge</t>
  </si>
  <si>
    <t>Mobile Ireland - call set up charge</t>
  </si>
  <si>
    <t>UK - call set up charge</t>
  </si>
  <si>
    <t>Near Europe - call set up charge</t>
  </si>
  <si>
    <t>Mid Europe - call set up charge</t>
  </si>
  <si>
    <t>Far Europe+ - call set up charge</t>
  </si>
  <si>
    <t>North America - call set up charge</t>
  </si>
  <si>
    <t>Mexico/Caribbean - call set up charge</t>
  </si>
  <si>
    <t>ANZ+ - call set up charge</t>
  </si>
  <si>
    <t>Band 8-Middle East - call set up charge</t>
  </si>
  <si>
    <t>Band 9-Pacific Rim - call set up charge</t>
  </si>
  <si>
    <t>Rest of World - call set up charge</t>
  </si>
  <si>
    <t>Mobile UK - call set up charge</t>
  </si>
  <si>
    <t>Mobile - Mid Europe - call set up charge</t>
  </si>
  <si>
    <t>Mobile Far Europe+ - call set up charge</t>
  </si>
  <si>
    <t>Mobile - North America - call set up charge</t>
  </si>
  <si>
    <t>Mobile - Mexico/Caribbean - call set up charge</t>
  </si>
  <si>
    <t>Mobile ANZ+ - call set up charge</t>
  </si>
  <si>
    <t>Mobile-Band 8-Middle East - call set up charge</t>
  </si>
  <si>
    <t>Mobile-Band 9-Pacific Rim - call set up charge</t>
  </si>
  <si>
    <t>Mobile - Rest of World - call set up charge</t>
  </si>
  <si>
    <t>Premium Rate Service (1550) - rate</t>
  </si>
  <si>
    <t>Total Calls / Seconds</t>
  </si>
  <si>
    <t>sip access monthly rental</t>
  </si>
  <si>
    <t>sip 1000 ddi block</t>
  </si>
  <si>
    <t>sip 100 ddi block</t>
  </si>
  <si>
    <t>sip 1 ddi block</t>
  </si>
  <si>
    <t>sip access monthly support</t>
  </si>
  <si>
    <t>This amount will be taken as the Bid for Lot 1 evaluation</t>
  </si>
  <si>
    <t>Volumes given are for the purposes ot tender evaluation only and are not a commitment of total traffic in the contract.</t>
  </si>
  <si>
    <t>RTÉ TRAFFIC</t>
  </si>
  <si>
    <t>12 MONTHS TRAFFIC</t>
  </si>
  <si>
    <t>No. of Devices</t>
  </si>
  <si>
    <t>No. of Handsets (as at current date)</t>
  </si>
  <si>
    <t>No. of Datacards (excl SCADA)</t>
  </si>
  <si>
    <t>No. of SCADA connections</t>
  </si>
  <si>
    <t>Tender</t>
  </si>
  <si>
    <t>Total Annual Cost</t>
  </si>
  <si>
    <t>RENTAL</t>
  </si>
  <si>
    <t>Datacards</t>
  </si>
  <si>
    <t>SCADA's</t>
  </si>
  <si>
    <t>HANDSET VOICE</t>
  </si>
  <si>
    <t>Calls to RTÉ mobiles within Ireland</t>
  </si>
  <si>
    <t>Calls to Non RTÉ mobiles within Ireland</t>
  </si>
  <si>
    <t>Calls to Offnet mobiles within Ireland</t>
  </si>
  <si>
    <t>Roaming: Daily Bundle - Voice/Data/SMS</t>
  </si>
  <si>
    <t>Tariff / Day</t>
  </si>
  <si>
    <t>UK</t>
  </si>
  <si>
    <t>EU (excl Ireland)</t>
  </si>
  <si>
    <t>USA/Canada</t>
  </si>
  <si>
    <t>Rest of the World</t>
  </si>
  <si>
    <t>Roaming calls</t>
  </si>
  <si>
    <t>Tariff / Min</t>
  </si>
  <si>
    <t>EU</t>
  </si>
  <si>
    <t>Rest of World</t>
  </si>
  <si>
    <t>International calls</t>
  </si>
  <si>
    <t>Other calls</t>
  </si>
  <si>
    <t>Connection Fee</t>
  </si>
  <si>
    <t>Landlines in Ireland</t>
  </si>
  <si>
    <t>Eircom Directory Enquiries (11811)</t>
  </si>
  <si>
    <t>Lo-calls (0818)</t>
  </si>
  <si>
    <t>DATA</t>
  </si>
  <si>
    <t>Handset Data</t>
  </si>
  <si>
    <t>Monthly Tarif</t>
  </si>
  <si>
    <t>Non Roaming (National Data)</t>
  </si>
  <si>
    <t>Roaming Data</t>
  </si>
  <si>
    <t>SMS &amp; MMS</t>
  </si>
  <si>
    <t>Tariff / Text</t>
  </si>
  <si>
    <t>Messaging - SMS National</t>
  </si>
  <si>
    <t>Messaging - SMS International</t>
  </si>
  <si>
    <t>Messaging - SMS Roaming</t>
  </si>
  <si>
    <t>Messaging - SMS Premium</t>
  </si>
  <si>
    <t>Messaging - MMS National</t>
  </si>
  <si>
    <t>Messaging - MMS International</t>
  </si>
  <si>
    <t>Messaging - MMS Roaming</t>
  </si>
  <si>
    <t>Messaging - MMS Premium</t>
  </si>
  <si>
    <r>
      <t xml:space="preserve">No.New Handsets per Year </t>
    </r>
    <r>
      <rPr>
        <sz val="10"/>
        <rFont val="Arial"/>
      </rPr>
      <t>(ranging from iphone 15 to iPhone Pro Max 17 and Samsung similar, and accessories)</t>
    </r>
  </si>
  <si>
    <t>Handsets</t>
  </si>
  <si>
    <t>Hardware Cost per annum</t>
  </si>
  <si>
    <t>Lot 1 Pricing Schedule</t>
  </si>
  <si>
    <t>Lot 2 Pricing Schedule</t>
  </si>
  <si>
    <t>Lot 3 Pricing Schedule</t>
  </si>
  <si>
    <t>€</t>
  </si>
  <si>
    <t>Lot 3 Cost</t>
  </si>
  <si>
    <t>This amount will be taken as the Bid for Lot 3 evaluation</t>
  </si>
  <si>
    <t>Insert Rate per second, and detail any other charges</t>
  </si>
  <si>
    <t>Rental Charge per Month (€)</t>
  </si>
  <si>
    <t>TOTAL ANNUAL COST - LOT 1</t>
  </si>
  <si>
    <t>TOTAL 5 YEAR COST - LOT 1</t>
  </si>
  <si>
    <t>TOTAL ANNUAL COST - LOT 2</t>
  </si>
  <si>
    <t>TOTAL 5 YEAR COST - LOT 2</t>
  </si>
  <si>
    <t>Lot 3 Adjustment (Annual Discount per year for winning both Lot 1 and Lot 2   x   5 years)</t>
  </si>
  <si>
    <t>Minutes per Year</t>
  </si>
  <si>
    <t>Ave No. Days Usage per Year for total users</t>
  </si>
  <si>
    <t>Number of Calls per Year</t>
  </si>
  <si>
    <t>No.of Texts per Year</t>
  </si>
  <si>
    <t>Data per Year (GB's)</t>
  </si>
  <si>
    <t>No. of Devices currently held</t>
  </si>
  <si>
    <t>Monthly Tariff</t>
  </si>
  <si>
    <t>Rate per second (cent / €)</t>
  </si>
  <si>
    <t>Details of call set up charges / min call costs &amp; minimum number of seconds etc</t>
  </si>
  <si>
    <t>High usage</t>
  </si>
  <si>
    <t>Standard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</si>
</sst>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;\(#,##0.00\);&quot;-&quot;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name val="MS Sans Serif"/>
      <family val="2"/>
    </font>
    <font>
      <u/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9">
    <xf numFmtId="0" fontId="0" fillId="0" borderId="0"/>
    <xf numFmtId="0" fontId="9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1" applyFont="1"/>
    <xf numFmtId="0" fontId="7" fillId="3" borderId="0" xfId="1" applyFont="1" applyFill="1" applyAlignment="1">
      <alignment horizontal="center"/>
    </xf>
    <xf numFmtId="0" fontId="8" fillId="0" borderId="0" xfId="1" applyFont="1"/>
    <xf numFmtId="17" fontId="10" fillId="3" borderId="0" xfId="1" applyNumberFormat="1" applyFont="1" applyFill="1" applyAlignment="1">
      <alignment horizontal="center"/>
    </xf>
    <xf numFmtId="0" fontId="10" fillId="3" borderId="0" xfId="1" applyFont="1" applyFill="1" applyAlignment="1">
      <alignment horizontal="center"/>
    </xf>
    <xf numFmtId="0" fontId="9" fillId="4" borderId="0" xfId="1" applyFill="1"/>
    <xf numFmtId="0" fontId="9" fillId="0" borderId="0" xfId="1"/>
    <xf numFmtId="3" fontId="9" fillId="3" borderId="0" xfId="1" applyNumberFormat="1" applyFill="1"/>
    <xf numFmtId="3" fontId="9" fillId="3" borderId="1" xfId="1" applyNumberFormat="1" applyFill="1" applyBorder="1"/>
    <xf numFmtId="0" fontId="7" fillId="0" borderId="0" xfId="1" applyFont="1"/>
    <xf numFmtId="3" fontId="9" fillId="5" borderId="0" xfId="1" applyNumberFormat="1" applyFill="1" applyAlignment="1">
      <alignment horizontal="center"/>
    </xf>
    <xf numFmtId="0" fontId="11" fillId="0" borderId="0" xfId="0" applyFont="1"/>
    <xf numFmtId="3" fontId="9" fillId="2" borderId="0" xfId="1" applyNumberFormat="1" applyFill="1"/>
    <xf numFmtId="3" fontId="9" fillId="2" borderId="0" xfId="1" applyNumberFormat="1" applyFill="1" applyAlignment="1">
      <alignment horizontal="center"/>
    </xf>
    <xf numFmtId="0" fontId="12" fillId="0" borderId="0" xfId="0" applyFont="1"/>
    <xf numFmtId="0" fontId="6" fillId="6" borderId="0" xfId="1" applyFont="1" applyFill="1"/>
    <xf numFmtId="0" fontId="8" fillId="6" borderId="0" xfId="1" applyFont="1" applyFill="1"/>
    <xf numFmtId="0" fontId="9" fillId="6" borderId="0" xfId="1" applyFill="1"/>
    <xf numFmtId="0" fontId="9" fillId="7" borderId="0" xfId="1" applyFill="1"/>
    <xf numFmtId="0" fontId="2" fillId="0" borderId="0" xfId="7" applyAlignment="1">
      <alignment horizontal="center"/>
    </xf>
    <xf numFmtId="0" fontId="2" fillId="0" borderId="0" xfId="7"/>
    <xf numFmtId="0" fontId="14" fillId="8" borderId="2" xfId="7" applyFont="1" applyFill="1" applyBorder="1"/>
    <xf numFmtId="0" fontId="14" fillId="0" borderId="2" xfId="7" applyFont="1" applyBorder="1" applyAlignment="1">
      <alignment horizontal="center"/>
    </xf>
    <xf numFmtId="0" fontId="2" fillId="0" borderId="3" xfId="7" applyBorder="1" applyAlignment="1">
      <alignment horizontal="center"/>
    </xf>
    <xf numFmtId="0" fontId="2" fillId="0" borderId="3" xfId="7" applyBorder="1"/>
    <xf numFmtId="0" fontId="2" fillId="0" borderId="4" xfId="7" applyBorder="1"/>
    <xf numFmtId="0" fontId="14" fillId="8" borderId="5" xfId="7" applyFont="1" applyFill="1" applyBorder="1"/>
    <xf numFmtId="0" fontId="14" fillId="0" borderId="5" xfId="7" applyFont="1" applyBorder="1" applyAlignment="1">
      <alignment horizontal="center"/>
    </xf>
    <xf numFmtId="0" fontId="2" fillId="0" borderId="6" xfId="7" applyBorder="1"/>
    <xf numFmtId="0" fontId="2" fillId="0" borderId="5" xfId="7" applyBorder="1"/>
    <xf numFmtId="0" fontId="15" fillId="0" borderId="5" xfId="7" applyFont="1" applyBorder="1" applyAlignment="1">
      <alignment horizontal="center"/>
    </xf>
    <xf numFmtId="3" fontId="13" fillId="9" borderId="6" xfId="7" applyNumberFormat="1" applyFont="1" applyFill="1" applyBorder="1" applyAlignment="1">
      <alignment horizontal="center"/>
    </xf>
    <xf numFmtId="0" fontId="13" fillId="9" borderId="5" xfId="7" applyFont="1" applyFill="1" applyBorder="1" applyAlignment="1">
      <alignment horizontal="center"/>
    </xf>
    <xf numFmtId="0" fontId="2" fillId="9" borderId="6" xfId="7" applyFill="1" applyBorder="1"/>
    <xf numFmtId="3" fontId="15" fillId="9" borderId="6" xfId="7" applyNumberFormat="1" applyFont="1" applyFill="1" applyBorder="1" applyAlignment="1">
      <alignment horizontal="right"/>
    </xf>
    <xf numFmtId="3" fontId="13" fillId="0" borderId="0" xfId="7" applyNumberFormat="1" applyFont="1" applyAlignment="1">
      <alignment horizontal="center"/>
    </xf>
    <xf numFmtId="0" fontId="13" fillId="0" borderId="5" xfId="7" applyFont="1" applyBorder="1" applyAlignment="1">
      <alignment horizontal="center"/>
    </xf>
    <xf numFmtId="0" fontId="15" fillId="0" borderId="0" xfId="7" applyFont="1" applyAlignment="1">
      <alignment horizontal="center"/>
    </xf>
    <xf numFmtId="0" fontId="2" fillId="9" borderId="5" xfId="7" applyFill="1" applyBorder="1" applyAlignment="1">
      <alignment horizontal="center"/>
    </xf>
    <xf numFmtId="4" fontId="2" fillId="10" borderId="0" xfId="7" applyNumberFormat="1" applyFill="1" applyAlignment="1">
      <alignment horizontal="center"/>
    </xf>
    <xf numFmtId="0" fontId="2" fillId="0" borderId="5" xfId="7" applyBorder="1" applyAlignment="1">
      <alignment horizontal="center"/>
    </xf>
    <xf numFmtId="0" fontId="2" fillId="0" borderId="7" xfId="7" applyBorder="1"/>
    <xf numFmtId="0" fontId="15" fillId="0" borderId="0" xfId="7" applyFont="1" applyAlignment="1">
      <alignment horizontal="right"/>
    </xf>
    <xf numFmtId="164" fontId="2" fillId="9" borderId="0" xfId="8" applyNumberFormat="1" applyFont="1" applyFill="1" applyBorder="1" applyAlignment="1">
      <alignment horizontal="right"/>
    </xf>
    <xf numFmtId="164" fontId="2" fillId="0" borderId="0" xfId="8" applyNumberFormat="1" applyFont="1" applyFill="1" applyBorder="1" applyAlignment="1">
      <alignment horizontal="right"/>
    </xf>
    <xf numFmtId="0" fontId="2" fillId="0" borderId="0" xfId="7" applyAlignment="1">
      <alignment horizontal="right"/>
    </xf>
    <xf numFmtId="0" fontId="15" fillId="0" borderId="7" xfId="7" applyFont="1" applyBorder="1"/>
    <xf numFmtId="0" fontId="15" fillId="0" borderId="0" xfId="7" applyFont="1" applyAlignment="1">
      <alignment horizontal="left"/>
    </xf>
    <xf numFmtId="165" fontId="15" fillId="0" borderId="7" xfId="7" applyNumberFormat="1" applyFont="1" applyBorder="1"/>
    <xf numFmtId="165" fontId="2" fillId="0" borderId="7" xfId="7" applyNumberFormat="1" applyBorder="1"/>
    <xf numFmtId="164" fontId="2" fillId="9" borderId="0" xfId="8" applyNumberFormat="1" applyFont="1" applyFill="1" applyBorder="1" applyAlignment="1">
      <alignment horizontal="center"/>
    </xf>
    <xf numFmtId="164" fontId="2" fillId="0" borderId="0" xfId="8" applyNumberFormat="1" applyFont="1" applyFill="1" applyBorder="1" applyAlignment="1">
      <alignment horizontal="center"/>
    </xf>
    <xf numFmtId="4" fontId="2" fillId="0" borderId="0" xfId="7" applyNumberFormat="1" applyAlignment="1">
      <alignment horizontal="center"/>
    </xf>
    <xf numFmtId="165" fontId="2" fillId="0" borderId="0" xfId="7" applyNumberFormat="1" applyAlignment="1">
      <alignment horizontal="center"/>
    </xf>
    <xf numFmtId="3" fontId="2" fillId="0" borderId="0" xfId="7" applyNumberFormat="1" applyAlignment="1">
      <alignment horizontal="center"/>
    </xf>
    <xf numFmtId="0" fontId="2" fillId="0" borderId="0" xfId="7" applyAlignment="1">
      <alignment horizontal="left"/>
    </xf>
    <xf numFmtId="165" fontId="2" fillId="0" borderId="5" xfId="7" applyNumberFormat="1" applyBorder="1" applyAlignment="1">
      <alignment horizontal="center"/>
    </xf>
    <xf numFmtId="165" fontId="14" fillId="8" borderId="7" xfId="7" applyNumberFormat="1" applyFont="1" applyFill="1" applyBorder="1"/>
    <xf numFmtId="165" fontId="14" fillId="0" borderId="5" xfId="7" applyNumberFormat="1" applyFont="1" applyBorder="1" applyAlignment="1">
      <alignment horizontal="center"/>
    </xf>
    <xf numFmtId="164" fontId="2" fillId="0" borderId="5" xfId="8" applyNumberFormat="1" applyFont="1" applyFill="1" applyBorder="1" applyAlignment="1">
      <alignment horizontal="right"/>
    </xf>
    <xf numFmtId="165" fontId="14" fillId="0" borderId="7" xfId="7" applyNumberFormat="1" applyFont="1" applyBorder="1"/>
    <xf numFmtId="164" fontId="16" fillId="0" borderId="5" xfId="8" applyNumberFormat="1" applyFont="1" applyBorder="1" applyAlignment="1">
      <alignment horizontal="right"/>
    </xf>
    <xf numFmtId="164" fontId="0" fillId="9" borderId="5" xfId="8" applyNumberFormat="1" applyFont="1" applyFill="1" applyBorder="1" applyAlignment="1">
      <alignment horizontal="center"/>
    </xf>
    <xf numFmtId="0" fontId="14" fillId="8" borderId="7" xfId="7" applyFont="1" applyFill="1" applyBorder="1"/>
    <xf numFmtId="165" fontId="15" fillId="0" borderId="5" xfId="7" applyNumberFormat="1" applyFont="1" applyBorder="1" applyAlignment="1">
      <alignment horizontal="center"/>
    </xf>
    <xf numFmtId="164" fontId="0" fillId="9" borderId="5" xfId="8" applyNumberFormat="1" applyFont="1" applyFill="1" applyBorder="1" applyAlignment="1">
      <alignment horizontal="right"/>
    </xf>
    <xf numFmtId="164" fontId="0" fillId="0" borderId="5" xfId="8" applyNumberFormat="1" applyFont="1" applyBorder="1" applyAlignment="1">
      <alignment horizontal="right"/>
    </xf>
    <xf numFmtId="164" fontId="0" fillId="0" borderId="5" xfId="8" applyNumberFormat="1" applyFont="1" applyFill="1" applyBorder="1" applyAlignment="1">
      <alignment horizontal="right"/>
    </xf>
    <xf numFmtId="164" fontId="0" fillId="9" borderId="6" xfId="8" applyNumberFormat="1" applyFont="1" applyFill="1" applyBorder="1"/>
    <xf numFmtId="165" fontId="15" fillId="0" borderId="5" xfId="7" applyNumberFormat="1" applyFont="1" applyBorder="1" applyAlignment="1">
      <alignment horizontal="left"/>
    </xf>
    <xf numFmtId="0" fontId="2" fillId="9" borderId="8" xfId="7" applyFill="1" applyBorder="1"/>
    <xf numFmtId="165" fontId="2" fillId="0" borderId="9" xfId="7" applyNumberFormat="1" applyBorder="1"/>
    <xf numFmtId="165" fontId="2" fillId="0" borderId="10" xfId="7" applyNumberFormat="1" applyBorder="1" applyAlignment="1">
      <alignment horizontal="center"/>
    </xf>
    <xf numFmtId="0" fontId="2" fillId="0" borderId="11" xfId="7" applyBorder="1" applyAlignment="1">
      <alignment horizontal="center"/>
    </xf>
    <xf numFmtId="0" fontId="2" fillId="0" borderId="11" xfId="7" applyBorder="1"/>
    <xf numFmtId="164" fontId="13" fillId="8" borderId="12" xfId="8" applyNumberFormat="1" applyFont="1" applyFill="1" applyBorder="1"/>
    <xf numFmtId="165" fontId="2" fillId="0" borderId="0" xfId="7" applyNumberFormat="1"/>
    <xf numFmtId="0" fontId="0" fillId="0" borderId="0" xfId="0" applyAlignment="1">
      <alignment horizontal="right"/>
    </xf>
    <xf numFmtId="0" fontId="0" fillId="0" borderId="13" xfId="0" applyBorder="1"/>
    <xf numFmtId="0" fontId="2" fillId="0" borderId="0" xfId="7" applyAlignment="1">
      <alignment horizontal="left" vertical="center" wrapText="1"/>
    </xf>
    <xf numFmtId="0" fontId="0" fillId="6" borderId="0" xfId="1" applyFont="1" applyFill="1"/>
    <xf numFmtId="0" fontId="0" fillId="0" borderId="0" xfId="1" applyFont="1"/>
    <xf numFmtId="0" fontId="7" fillId="6" borderId="0" xfId="1" applyFont="1" applyFill="1"/>
    <xf numFmtId="0" fontId="2" fillId="8" borderId="11" xfId="7" applyFill="1" applyBorder="1"/>
    <xf numFmtId="0" fontId="2" fillId="0" borderId="14" xfId="7" applyBorder="1"/>
    <xf numFmtId="1" fontId="2" fillId="0" borderId="15" xfId="7" applyNumberFormat="1" applyBorder="1" applyAlignment="1">
      <alignment horizontal="center"/>
    </xf>
    <xf numFmtId="0" fontId="2" fillId="0" borderId="14" xfId="7" applyBorder="1" applyAlignment="1">
      <alignment horizontal="center"/>
    </xf>
    <xf numFmtId="0" fontId="9" fillId="0" borderId="14" xfId="1" applyBorder="1"/>
    <xf numFmtId="0" fontId="9" fillId="8" borderId="0" xfId="1" applyFill="1"/>
    <xf numFmtId="0" fontId="9" fillId="8" borderId="14" xfId="1" applyFill="1" applyBorder="1"/>
    <xf numFmtId="165" fontId="1" fillId="0" borderId="10" xfId="7" applyNumberFormat="1" applyFont="1" applyBorder="1" applyAlignment="1">
      <alignment horizontal="center"/>
    </xf>
    <xf numFmtId="0" fontId="1" fillId="0" borderId="11" xfId="7" applyFont="1" applyBorder="1" applyAlignment="1">
      <alignment horizontal="center"/>
    </xf>
    <xf numFmtId="0" fontId="1" fillId="0" borderId="11" xfId="7" applyFont="1" applyBorder="1"/>
    <xf numFmtId="0" fontId="1" fillId="8" borderId="11" xfId="7" applyFont="1" applyFill="1" applyBorder="1"/>
    <xf numFmtId="0" fontId="0" fillId="8" borderId="0" xfId="1" applyFont="1" applyFill="1"/>
    <xf numFmtId="0" fontId="0" fillId="8" borderId="14" xfId="1" applyFont="1" applyFill="1" applyBorder="1"/>
    <xf numFmtId="3" fontId="7" fillId="2" borderId="0" xfId="1" applyNumberFormat="1" applyFont="1" applyFill="1" applyAlignment="1">
      <alignment horizontal="center"/>
    </xf>
    <xf numFmtId="0" fontId="1" fillId="0" borderId="5" xfId="7" applyFont="1" applyBorder="1"/>
  </cellXfs>
  <cellStyles count="9">
    <cellStyle name="Comma 2" xfId="4" xr:uid="{78573D9B-7058-4E96-985C-043A97A1A7B9}"/>
    <cellStyle name="Comma 3" xfId="6" xr:uid="{00C40DBD-076A-4BB2-AD2F-0A200076FF1A}"/>
    <cellStyle name="Comma 4" xfId="8" xr:uid="{7FE4E5D4-50ED-40EA-A9EE-0265788E5F33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DD6AFD0E-A42D-4378-BC0D-CD7E17E2E44A}"/>
    <cellStyle name="Normal 5" xfId="5" xr:uid="{18A663D7-9C13-4BF2-AA14-5936A685DDF8}"/>
    <cellStyle name="Normal 6" xfId="7" xr:uid="{2A457E1E-569A-4AD7-A946-29AE9F0CB527}"/>
  </cellStyles>
  <dxfs count="0"/>
  <tableStyles count="0" defaultTableStyle="TableStyleMedium9" defaultPivotStyle="PivotStyleLight16"/>
  <colors>
    <mruColors>
      <color rgb="FFFF99FF"/>
      <color rgb="FFFF00FF"/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205</xdr:row>
      <xdr:rowOff>0</xdr:rowOff>
    </xdr:from>
    <xdr:to>
      <xdr:col>0</xdr:col>
      <xdr:colOff>9525</xdr:colOff>
      <xdr:row>205</xdr:row>
      <xdr:rowOff>9525</xdr:rowOff>
    </xdr:to>
    <xdr:pic>
      <xdr:nvPicPr>
        <xdr:cNvPr id="2" name="Picture 1" descr="http://d.adroll.com/cm/r/out">
          <a:extLst>
            <a:ext uri="{FF2B5EF4-FFF2-40B4-BE49-F238E27FC236}">
              <a16:creationId xmlns:a16="http://schemas.microsoft.com/office/drawing/2014/main" id="{6AB9E3F9-84CB-485B-B3FC-887A90A0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205</xdr:row>
      <xdr:rowOff>0</xdr:rowOff>
    </xdr:from>
    <xdr:to>
      <xdr:col>0</xdr:col>
      <xdr:colOff>28575</xdr:colOff>
      <xdr:row>205</xdr:row>
      <xdr:rowOff>9525</xdr:rowOff>
    </xdr:to>
    <xdr:pic>
      <xdr:nvPicPr>
        <xdr:cNvPr id="3" name="Picture 2" descr="http://d.adroll.com/cm/f/out">
          <a:extLst>
            <a:ext uri="{FF2B5EF4-FFF2-40B4-BE49-F238E27FC236}">
              <a16:creationId xmlns:a16="http://schemas.microsoft.com/office/drawing/2014/main" id="{86FF8953-BC85-4E4D-9E7F-57AE61ED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205</xdr:row>
      <xdr:rowOff>0</xdr:rowOff>
    </xdr:from>
    <xdr:to>
      <xdr:col>0</xdr:col>
      <xdr:colOff>47625</xdr:colOff>
      <xdr:row>205</xdr:row>
      <xdr:rowOff>9525</xdr:rowOff>
    </xdr:to>
    <xdr:pic>
      <xdr:nvPicPr>
        <xdr:cNvPr id="4" name="Picture 3" descr="http://d.adroll.com/cm/b/out">
          <a:extLst>
            <a:ext uri="{FF2B5EF4-FFF2-40B4-BE49-F238E27FC236}">
              <a16:creationId xmlns:a16="http://schemas.microsoft.com/office/drawing/2014/main" id="{5A3ECC25-E418-4966-8F8F-9C7922F1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205</xdr:row>
      <xdr:rowOff>0</xdr:rowOff>
    </xdr:from>
    <xdr:to>
      <xdr:col>0</xdr:col>
      <xdr:colOff>66675</xdr:colOff>
      <xdr:row>205</xdr:row>
      <xdr:rowOff>9525</xdr:rowOff>
    </xdr:to>
    <xdr:sp macro="" textlink="">
      <xdr:nvSpPr>
        <xdr:cNvPr id="5" name="AutoShape 4" descr="http://d.adroll.com/cm/w/out">
          <a:extLst>
            <a:ext uri="{FF2B5EF4-FFF2-40B4-BE49-F238E27FC236}">
              <a16:creationId xmlns:a16="http://schemas.microsoft.com/office/drawing/2014/main" id="{19C64B0F-C682-40DC-A901-B371D32BD867}"/>
            </a:ext>
          </a:extLst>
        </xdr:cNvPr>
        <xdr:cNvSpPr>
          <a:spLocks noChangeAspect="1" noChangeArrowheads="1"/>
        </xdr:cNvSpPr>
      </xdr:nvSpPr>
      <xdr:spPr bwMode="auto">
        <a:xfrm>
          <a:off x="57150" y="47120175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76200</xdr:colOff>
      <xdr:row>205</xdr:row>
      <xdr:rowOff>0</xdr:rowOff>
    </xdr:from>
    <xdr:to>
      <xdr:col>0</xdr:col>
      <xdr:colOff>85725</xdr:colOff>
      <xdr:row>205</xdr:row>
      <xdr:rowOff>9525</xdr:rowOff>
    </xdr:to>
    <xdr:pic>
      <xdr:nvPicPr>
        <xdr:cNvPr id="6" name="Picture 5" descr="http://d.adroll.com/cm/x/out">
          <a:extLst>
            <a:ext uri="{FF2B5EF4-FFF2-40B4-BE49-F238E27FC236}">
              <a16:creationId xmlns:a16="http://schemas.microsoft.com/office/drawing/2014/main" id="{24BA0762-742D-4D81-B765-55686D95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20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205</xdr:row>
      <xdr:rowOff>0</xdr:rowOff>
    </xdr:from>
    <xdr:to>
      <xdr:col>0</xdr:col>
      <xdr:colOff>104775</xdr:colOff>
      <xdr:row>205</xdr:row>
      <xdr:rowOff>9525</xdr:rowOff>
    </xdr:to>
    <xdr:pic>
      <xdr:nvPicPr>
        <xdr:cNvPr id="7" name="Picture 6" descr="http://d.adroll.com/cm/l/out">
          <a:extLst>
            <a:ext uri="{FF2B5EF4-FFF2-40B4-BE49-F238E27FC236}">
              <a16:creationId xmlns:a16="http://schemas.microsoft.com/office/drawing/2014/main" id="{79F5E2C3-F647-4DC7-B5A1-B1171DD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9525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205</xdr:row>
      <xdr:rowOff>0</xdr:rowOff>
    </xdr:from>
    <xdr:to>
      <xdr:col>0</xdr:col>
      <xdr:colOff>123825</xdr:colOff>
      <xdr:row>205</xdr:row>
      <xdr:rowOff>9525</xdr:rowOff>
    </xdr:to>
    <xdr:pic>
      <xdr:nvPicPr>
        <xdr:cNvPr id="8" name="Picture 7" descr="http://d.adroll.com/cm/o/out">
          <a:extLst>
            <a:ext uri="{FF2B5EF4-FFF2-40B4-BE49-F238E27FC236}">
              <a16:creationId xmlns:a16="http://schemas.microsoft.com/office/drawing/2014/main" id="{2F9F7954-A71C-45BD-B0C0-089E488C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1430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205</xdr:row>
      <xdr:rowOff>0</xdr:rowOff>
    </xdr:from>
    <xdr:to>
      <xdr:col>0</xdr:col>
      <xdr:colOff>142875</xdr:colOff>
      <xdr:row>205</xdr:row>
      <xdr:rowOff>9525</xdr:rowOff>
    </xdr:to>
    <xdr:pic>
      <xdr:nvPicPr>
        <xdr:cNvPr id="9" name="Picture 8" descr="http://d.adroll.com/cm/g/out?google_nid=adroll5">
          <a:extLst>
            <a:ext uri="{FF2B5EF4-FFF2-40B4-BE49-F238E27FC236}">
              <a16:creationId xmlns:a16="http://schemas.microsoft.com/office/drawing/2014/main" id="{110EA8D1-EC85-4D92-B098-3E70B001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152400</xdr:colOff>
      <xdr:row>205</xdr:row>
      <xdr:rowOff>0</xdr:rowOff>
    </xdr:from>
    <xdr:to>
      <xdr:col>0</xdr:col>
      <xdr:colOff>161925</xdr:colOff>
      <xdr:row>205</xdr:row>
      <xdr:rowOff>9525</xdr:rowOff>
    </xdr:to>
    <xdr:sp macro="" textlink="">
      <xdr:nvSpPr>
        <xdr:cNvPr id="10" name="AutoShape 9" descr="https://www.facebook.com/tr?id=1529612647283452&amp;cd%5bsegment_eid%5d=URUMS3Y75VHVLGKVUJTTJV&amp;ev=NoScript">
          <a:extLst>
            <a:ext uri="{FF2B5EF4-FFF2-40B4-BE49-F238E27FC236}">
              <a16:creationId xmlns:a16="http://schemas.microsoft.com/office/drawing/2014/main" id="{4378541C-6B41-4ECC-B62C-96151EDF1A13}"/>
            </a:ext>
          </a:extLst>
        </xdr:cNvPr>
        <xdr:cNvSpPr>
          <a:spLocks noChangeAspect="1" noChangeArrowheads="1"/>
        </xdr:cNvSpPr>
      </xdr:nvSpPr>
      <xdr:spPr bwMode="auto">
        <a:xfrm>
          <a:off x="152400" y="47120175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171450</xdr:colOff>
      <xdr:row>205</xdr:row>
      <xdr:rowOff>0</xdr:rowOff>
    </xdr:from>
    <xdr:to>
      <xdr:col>0</xdr:col>
      <xdr:colOff>180975</xdr:colOff>
      <xdr:row>205</xdr:row>
      <xdr:rowOff>9525</xdr:rowOff>
    </xdr:to>
    <xdr:pic>
      <xdr:nvPicPr>
        <xdr:cNvPr id="11" name="Picture 10" descr="http://googleads.g.doubleclick.net/pagead/viewthroughconversion/976682315/?label=k46MCNWYng4Qy_rb0QM&amp;guid=ON&amp;script=0&amp;ord=92499151424249.58">
          <a:extLst>
            <a:ext uri="{FF2B5EF4-FFF2-40B4-BE49-F238E27FC236}">
              <a16:creationId xmlns:a16="http://schemas.microsoft.com/office/drawing/2014/main" id="{E3540375-1DCC-4B52-903A-26DF7A43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71450" y="47120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190500</xdr:colOff>
      <xdr:row>205</xdr:row>
      <xdr:rowOff>0</xdr:rowOff>
    </xdr:from>
    <xdr:to>
      <xdr:col>0</xdr:col>
      <xdr:colOff>200025</xdr:colOff>
      <xdr:row>205</xdr:row>
      <xdr:rowOff>9525</xdr:rowOff>
    </xdr:to>
    <xdr:sp macro="" textlink="">
      <xdr:nvSpPr>
        <xdr:cNvPr id="12" name="AutoShape 11" descr="http://ib.adnxs.com/seg?add=1695901&amp;t=2">
          <a:extLst>
            <a:ext uri="{FF2B5EF4-FFF2-40B4-BE49-F238E27FC236}">
              <a16:creationId xmlns:a16="http://schemas.microsoft.com/office/drawing/2014/main" id="{9353D636-4BFC-4C64-AD0A-C9BBB0BDCBFD}"/>
            </a:ext>
          </a:extLst>
        </xdr:cNvPr>
        <xdr:cNvSpPr>
          <a:spLocks noChangeAspect="1" noChangeArrowheads="1"/>
        </xdr:cNvSpPr>
      </xdr:nvSpPr>
      <xdr:spPr bwMode="auto">
        <a:xfrm>
          <a:off x="190500" y="47120175"/>
          <a:ext cx="9525" cy="9525"/>
        </a:xfrm>
        <a:prstGeom prst="rect">
          <a:avLst/>
        </a:prstGeom>
        <a:noFill/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DEBD-22A4-456E-ABF2-1EE53065F6DE}">
  <sheetPr>
    <tabColor rgb="FFFFC000"/>
  </sheetPr>
  <dimension ref="A1:I68"/>
  <sheetViews>
    <sheetView tabSelected="1" topLeftCell="A2" zoomScale="89" zoomScaleNormal="89" workbookViewId="0">
      <selection activeCell="A13" sqref="A13"/>
    </sheetView>
  </sheetViews>
  <sheetFormatPr defaultRowHeight="14.5" x14ac:dyDescent="0.35"/>
  <cols>
    <col min="1" max="1" width="70" style="21" customWidth="1"/>
    <col min="2" max="2" width="26.453125" style="20" customWidth="1"/>
    <col min="3" max="3" width="23.453125" style="20" customWidth="1"/>
    <col min="4" max="4" width="16.1796875" style="21" customWidth="1"/>
    <col min="5" max="5" width="18.54296875" style="21" customWidth="1"/>
    <col min="6" max="6" width="17" style="21" customWidth="1"/>
    <col min="7" max="7" width="18.7265625" style="21" customWidth="1"/>
    <col min="8" max="8" width="67.81640625" style="21" customWidth="1"/>
    <col min="9" max="9" width="8.7265625" style="21"/>
    <col min="10" max="10" width="33.1796875" style="21" customWidth="1"/>
    <col min="11" max="11" width="30.26953125" style="21" customWidth="1"/>
    <col min="12" max="16384" width="8.7265625" style="21"/>
  </cols>
  <sheetData>
    <row r="1" spans="1:7" x14ac:dyDescent="0.35">
      <c r="A1" s="1" t="s">
        <v>227</v>
      </c>
    </row>
    <row r="3" spans="1:7" x14ac:dyDescent="0.35">
      <c r="A3" s="22" t="s">
        <v>177</v>
      </c>
      <c r="B3" s="23"/>
      <c r="C3" s="24"/>
      <c r="D3" s="25"/>
      <c r="E3" s="25"/>
      <c r="F3" s="25"/>
      <c r="G3" s="26"/>
    </row>
    <row r="4" spans="1:7" x14ac:dyDescent="0.35">
      <c r="A4" s="27" t="s">
        <v>178</v>
      </c>
      <c r="B4" s="28"/>
      <c r="G4" s="29"/>
    </row>
    <row r="5" spans="1:7" x14ac:dyDescent="0.35">
      <c r="A5" s="30"/>
      <c r="B5" s="31" t="s">
        <v>244</v>
      </c>
      <c r="G5" s="32"/>
    </row>
    <row r="6" spans="1:7" x14ac:dyDescent="0.35">
      <c r="A6" s="30" t="s">
        <v>180</v>
      </c>
      <c r="B6" s="33">
        <v>900</v>
      </c>
      <c r="G6" s="34"/>
    </row>
    <row r="7" spans="1:7" x14ac:dyDescent="0.35">
      <c r="A7" s="30" t="s">
        <v>181</v>
      </c>
      <c r="B7" s="33">
        <v>400</v>
      </c>
      <c r="G7" s="35"/>
    </row>
    <row r="8" spans="1:7" x14ac:dyDescent="0.35">
      <c r="A8" s="30" t="s">
        <v>182</v>
      </c>
      <c r="B8" s="33">
        <v>35</v>
      </c>
      <c r="C8" s="36"/>
      <c r="G8" s="35" t="s">
        <v>183</v>
      </c>
    </row>
    <row r="9" spans="1:7" x14ac:dyDescent="0.35">
      <c r="A9" s="30"/>
      <c r="B9" s="37"/>
      <c r="C9" s="36"/>
      <c r="G9" s="35" t="s">
        <v>184</v>
      </c>
    </row>
    <row r="10" spans="1:7" x14ac:dyDescent="0.35">
      <c r="A10" s="27" t="s">
        <v>185</v>
      </c>
      <c r="B10" s="31" t="s">
        <v>179</v>
      </c>
      <c r="C10" s="38" t="s">
        <v>245</v>
      </c>
      <c r="G10" s="34"/>
    </row>
    <row r="11" spans="1:7" x14ac:dyDescent="0.35">
      <c r="A11" s="98" t="s">
        <v>248</v>
      </c>
      <c r="B11" s="39">
        <v>250</v>
      </c>
      <c r="C11" s="40"/>
      <c r="G11" s="34"/>
    </row>
    <row r="12" spans="1:7" x14ac:dyDescent="0.35">
      <c r="A12" s="98" t="s">
        <v>249</v>
      </c>
      <c r="B12" s="39">
        <v>650</v>
      </c>
      <c r="C12" s="40"/>
      <c r="G12" s="34"/>
    </row>
    <row r="13" spans="1:7" x14ac:dyDescent="0.35">
      <c r="A13" s="30" t="s">
        <v>186</v>
      </c>
      <c r="B13" s="39">
        <v>400</v>
      </c>
      <c r="C13" s="40"/>
      <c r="G13" s="34"/>
    </row>
    <row r="14" spans="1:7" x14ac:dyDescent="0.35">
      <c r="A14" s="30" t="s">
        <v>187</v>
      </c>
      <c r="B14" s="39">
        <v>35</v>
      </c>
      <c r="C14" s="40"/>
      <c r="G14" s="34"/>
    </row>
    <row r="15" spans="1:7" x14ac:dyDescent="0.35">
      <c r="A15" s="30"/>
      <c r="B15" s="41"/>
      <c r="C15" s="38"/>
      <c r="G15" s="34"/>
    </row>
    <row r="16" spans="1:7" x14ac:dyDescent="0.35">
      <c r="A16" s="27" t="s">
        <v>188</v>
      </c>
      <c r="B16" s="28"/>
      <c r="C16" s="38"/>
      <c r="G16" s="34"/>
    </row>
    <row r="17" spans="1:7" x14ac:dyDescent="0.35">
      <c r="A17" s="42"/>
      <c r="B17" s="43" t="s">
        <v>239</v>
      </c>
      <c r="C17" s="38"/>
      <c r="G17" s="34"/>
    </row>
    <row r="18" spans="1:7" x14ac:dyDescent="0.35">
      <c r="A18" s="42" t="s">
        <v>189</v>
      </c>
      <c r="B18" s="44">
        <f>1044100*0.38*1.1*1.2</f>
        <v>523720.56000000006</v>
      </c>
      <c r="C18" s="38"/>
      <c r="G18" s="34"/>
    </row>
    <row r="19" spans="1:7" x14ac:dyDescent="0.35">
      <c r="A19" s="42" t="s">
        <v>190</v>
      </c>
      <c r="B19" s="44">
        <f>1044100*0.62*1.1*1.2</f>
        <v>854491.44000000006</v>
      </c>
      <c r="C19" s="38"/>
      <c r="G19" s="34"/>
    </row>
    <row r="20" spans="1:7" x14ac:dyDescent="0.35">
      <c r="A20" s="42" t="s">
        <v>191</v>
      </c>
      <c r="B20" s="44">
        <f>448320*1.1*1.2</f>
        <v>591782.40000000002</v>
      </c>
      <c r="C20" s="38"/>
      <c r="G20" s="34"/>
    </row>
    <row r="21" spans="1:7" x14ac:dyDescent="0.35">
      <c r="A21" s="42"/>
      <c r="B21" s="45"/>
      <c r="D21" s="46"/>
      <c r="G21" s="34"/>
    </row>
    <row r="22" spans="1:7" x14ac:dyDescent="0.35">
      <c r="A22" s="47" t="s">
        <v>192</v>
      </c>
      <c r="B22" s="48" t="s">
        <v>240</v>
      </c>
      <c r="D22" s="38" t="s">
        <v>193</v>
      </c>
      <c r="G22" s="34"/>
    </row>
    <row r="23" spans="1:7" x14ac:dyDescent="0.35">
      <c r="A23" s="42" t="s">
        <v>194</v>
      </c>
      <c r="B23" s="44">
        <f>400*12</f>
        <v>4800</v>
      </c>
      <c r="D23" s="40"/>
      <c r="G23" s="34"/>
    </row>
    <row r="24" spans="1:7" x14ac:dyDescent="0.35">
      <c r="A24" s="42" t="s">
        <v>195</v>
      </c>
      <c r="B24" s="44">
        <f>400*12</f>
        <v>4800</v>
      </c>
      <c r="D24" s="40"/>
      <c r="G24" s="34"/>
    </row>
    <row r="25" spans="1:7" x14ac:dyDescent="0.35">
      <c r="A25" s="42" t="s">
        <v>196</v>
      </c>
      <c r="B25" s="44">
        <f>40*12</f>
        <v>480</v>
      </c>
      <c r="D25" s="40"/>
      <c r="G25" s="34"/>
    </row>
    <row r="26" spans="1:7" x14ac:dyDescent="0.35">
      <c r="A26" s="42" t="s">
        <v>197</v>
      </c>
      <c r="B26" s="44">
        <f>20*12</f>
        <v>240</v>
      </c>
      <c r="D26" s="40"/>
      <c r="G26" s="34"/>
    </row>
    <row r="27" spans="1:7" x14ac:dyDescent="0.35">
      <c r="A27" s="42"/>
      <c r="B27" s="38"/>
      <c r="D27" s="46"/>
      <c r="G27" s="34"/>
    </row>
    <row r="28" spans="1:7" x14ac:dyDescent="0.35">
      <c r="A28" s="49" t="s">
        <v>198</v>
      </c>
      <c r="B28" s="43" t="s">
        <v>239</v>
      </c>
      <c r="C28" s="38" t="s">
        <v>199</v>
      </c>
      <c r="D28" s="38"/>
      <c r="G28" s="34"/>
    </row>
    <row r="29" spans="1:7" x14ac:dyDescent="0.35">
      <c r="A29" s="50" t="s">
        <v>194</v>
      </c>
      <c r="B29" s="51">
        <v>39656.800000000418</v>
      </c>
      <c r="C29" s="40"/>
      <c r="D29" s="38"/>
      <c r="G29" s="34"/>
    </row>
    <row r="30" spans="1:7" x14ac:dyDescent="0.35">
      <c r="A30" s="50" t="s">
        <v>200</v>
      </c>
      <c r="B30" s="51">
        <v>48338.68</v>
      </c>
      <c r="C30" s="40"/>
      <c r="D30" s="38"/>
      <c r="G30" s="34"/>
    </row>
    <row r="31" spans="1:7" x14ac:dyDescent="0.35">
      <c r="A31" s="50" t="s">
        <v>196</v>
      </c>
      <c r="B31" s="51">
        <v>4982.63</v>
      </c>
      <c r="C31" s="40"/>
      <c r="D31" s="38"/>
      <c r="G31" s="34"/>
    </row>
    <row r="32" spans="1:7" x14ac:dyDescent="0.35">
      <c r="A32" s="50" t="s">
        <v>201</v>
      </c>
      <c r="B32" s="51">
        <v>2213.4499999999998</v>
      </c>
      <c r="C32" s="40"/>
      <c r="D32" s="38"/>
      <c r="G32" s="34"/>
    </row>
    <row r="33" spans="1:9" x14ac:dyDescent="0.35">
      <c r="A33" s="50"/>
      <c r="B33" s="52"/>
      <c r="C33" s="53"/>
      <c r="D33" s="38"/>
      <c r="G33" s="34"/>
    </row>
    <row r="34" spans="1:9" x14ac:dyDescent="0.35">
      <c r="A34" s="47" t="s">
        <v>202</v>
      </c>
      <c r="B34" s="43" t="s">
        <v>239</v>
      </c>
      <c r="C34" s="38" t="s">
        <v>199</v>
      </c>
      <c r="D34" s="38"/>
      <c r="G34" s="34"/>
    </row>
    <row r="35" spans="1:9" x14ac:dyDescent="0.35">
      <c r="A35" s="50" t="s">
        <v>194</v>
      </c>
      <c r="B35" s="51">
        <v>62000</v>
      </c>
      <c r="C35" s="40"/>
      <c r="D35" s="38"/>
      <c r="G35" s="34"/>
    </row>
    <row r="36" spans="1:9" x14ac:dyDescent="0.35">
      <c r="A36" s="50" t="s">
        <v>200</v>
      </c>
      <c r="B36" s="51">
        <v>20000</v>
      </c>
      <c r="C36" s="40"/>
      <c r="D36" s="38"/>
      <c r="G36" s="34"/>
    </row>
    <row r="37" spans="1:9" x14ac:dyDescent="0.35">
      <c r="A37" s="50" t="s">
        <v>196</v>
      </c>
      <c r="B37" s="51">
        <v>5000</v>
      </c>
      <c r="C37" s="40"/>
      <c r="D37" s="38"/>
      <c r="G37" s="34"/>
    </row>
    <row r="38" spans="1:9" x14ac:dyDescent="0.35">
      <c r="A38" s="50" t="s">
        <v>201</v>
      </c>
      <c r="B38" s="51">
        <v>3000</v>
      </c>
      <c r="C38" s="40"/>
      <c r="D38" s="38"/>
      <c r="G38" s="34"/>
    </row>
    <row r="39" spans="1:9" x14ac:dyDescent="0.35">
      <c r="A39" s="50"/>
      <c r="B39" s="52"/>
      <c r="C39" s="53"/>
      <c r="D39" s="38"/>
      <c r="G39" s="34"/>
    </row>
    <row r="40" spans="1:9" x14ac:dyDescent="0.35">
      <c r="A40" s="50"/>
      <c r="B40" s="54"/>
      <c r="C40" s="55"/>
      <c r="D40" s="38"/>
      <c r="E40" s="46"/>
      <c r="G40" s="34"/>
    </row>
    <row r="41" spans="1:9" x14ac:dyDescent="0.35">
      <c r="A41" s="49" t="s">
        <v>203</v>
      </c>
      <c r="B41" s="31" t="s">
        <v>241</v>
      </c>
      <c r="C41" s="43" t="s">
        <v>239</v>
      </c>
      <c r="D41" s="43" t="s">
        <v>204</v>
      </c>
      <c r="E41" s="43" t="s">
        <v>199</v>
      </c>
      <c r="G41" s="34"/>
    </row>
    <row r="42" spans="1:9" x14ac:dyDescent="0.35">
      <c r="A42" s="50" t="s">
        <v>205</v>
      </c>
      <c r="B42" s="51">
        <f>237264*1.05</f>
        <v>249127.2</v>
      </c>
      <c r="C42" s="51">
        <f>530944*1.05</f>
        <v>557491.20000000007</v>
      </c>
      <c r="D42" s="40"/>
      <c r="E42" s="40"/>
      <c r="G42" s="34"/>
    </row>
    <row r="43" spans="1:9" x14ac:dyDescent="0.35">
      <c r="A43" s="50" t="s">
        <v>206</v>
      </c>
      <c r="B43" s="51">
        <f>12*1.05</f>
        <v>12.600000000000001</v>
      </c>
      <c r="C43" s="51">
        <f>16*1.05</f>
        <v>16.8</v>
      </c>
      <c r="D43" s="40"/>
      <c r="E43" s="40"/>
      <c r="G43" s="34"/>
    </row>
    <row r="44" spans="1:9" x14ac:dyDescent="0.35">
      <c r="A44" s="50" t="s">
        <v>207</v>
      </c>
      <c r="B44" s="51">
        <f>5696*1.05</f>
        <v>5980.8</v>
      </c>
      <c r="C44" s="51">
        <f>26200*1.05</f>
        <v>27510</v>
      </c>
      <c r="D44" s="40"/>
      <c r="E44" s="40"/>
      <c r="G44" s="34"/>
      <c r="H44" s="56"/>
    </row>
    <row r="45" spans="1:9" x14ac:dyDescent="0.35">
      <c r="A45" s="50"/>
      <c r="B45" s="54"/>
      <c r="C45" s="55"/>
      <c r="D45" s="55"/>
      <c r="E45" s="55"/>
      <c r="G45" s="34"/>
      <c r="H45" s="56"/>
    </row>
    <row r="46" spans="1:9" x14ac:dyDescent="0.35">
      <c r="A46" s="50"/>
      <c r="B46" s="57"/>
      <c r="D46" s="20"/>
      <c r="E46" s="20"/>
      <c r="F46" s="20"/>
      <c r="G46" s="34"/>
      <c r="I46" s="56"/>
    </row>
    <row r="47" spans="1:9" x14ac:dyDescent="0.35">
      <c r="A47" s="58" t="s">
        <v>208</v>
      </c>
      <c r="B47" s="59"/>
      <c r="D47" s="20"/>
      <c r="E47" s="20"/>
      <c r="F47" s="20"/>
      <c r="G47" s="34"/>
    </row>
    <row r="48" spans="1:9" x14ac:dyDescent="0.35">
      <c r="A48" s="49"/>
      <c r="B48" s="60"/>
      <c r="D48" s="20"/>
      <c r="E48" s="20"/>
      <c r="F48" s="20"/>
      <c r="G48" s="34"/>
    </row>
    <row r="49" spans="1:7" ht="16" x14ac:dyDescent="0.5">
      <c r="A49" s="61" t="s">
        <v>209</v>
      </c>
      <c r="B49" s="62" t="s">
        <v>243</v>
      </c>
      <c r="C49" s="38" t="s">
        <v>210</v>
      </c>
      <c r="G49" s="34"/>
    </row>
    <row r="50" spans="1:7" x14ac:dyDescent="0.35">
      <c r="A50" s="50" t="s">
        <v>211</v>
      </c>
      <c r="B50" s="63">
        <f>11000*12</f>
        <v>132000</v>
      </c>
      <c r="C50" s="40"/>
      <c r="G50" s="34"/>
    </row>
    <row r="51" spans="1:7" x14ac:dyDescent="0.35">
      <c r="A51" s="50" t="s">
        <v>212</v>
      </c>
      <c r="B51" s="63">
        <f>666.666*12</f>
        <v>7999.9920000000002</v>
      </c>
      <c r="C51" s="40"/>
      <c r="G51" s="34"/>
    </row>
    <row r="52" spans="1:7" x14ac:dyDescent="0.35">
      <c r="A52" s="49"/>
      <c r="B52" s="41"/>
      <c r="C52" s="38"/>
      <c r="G52" s="34"/>
    </row>
    <row r="53" spans="1:7" x14ac:dyDescent="0.35">
      <c r="A53" s="64" t="s">
        <v>213</v>
      </c>
      <c r="B53" s="65" t="s">
        <v>242</v>
      </c>
      <c r="C53" s="38" t="s">
        <v>214</v>
      </c>
      <c r="G53" s="34"/>
    </row>
    <row r="54" spans="1:7" x14ac:dyDescent="0.35">
      <c r="A54" s="50" t="s">
        <v>215</v>
      </c>
      <c r="B54" s="66">
        <f>17772*12*0.95</f>
        <v>202600.8</v>
      </c>
      <c r="C54" s="40"/>
      <c r="G54" s="34"/>
    </row>
    <row r="55" spans="1:7" x14ac:dyDescent="0.35">
      <c r="A55" s="50" t="s">
        <v>216</v>
      </c>
      <c r="B55" s="66">
        <f>611*12*0.95</f>
        <v>6965.4</v>
      </c>
      <c r="C55" s="40"/>
      <c r="E55" s="80"/>
      <c r="F55" s="80"/>
      <c r="G55" s="34"/>
    </row>
    <row r="56" spans="1:7" x14ac:dyDescent="0.35">
      <c r="A56" s="50" t="s">
        <v>217</v>
      </c>
      <c r="B56" s="66">
        <f>454*12*0.95</f>
        <v>5175.5999999999995</v>
      </c>
      <c r="C56" s="40"/>
      <c r="G56" s="34"/>
    </row>
    <row r="57" spans="1:7" x14ac:dyDescent="0.35">
      <c r="A57" s="50" t="s">
        <v>218</v>
      </c>
      <c r="B57" s="66">
        <f>206*12*0.95</f>
        <v>2348.4</v>
      </c>
      <c r="C57" s="40"/>
      <c r="G57" s="34"/>
    </row>
    <row r="58" spans="1:7" x14ac:dyDescent="0.35">
      <c r="A58" s="50"/>
      <c r="B58" s="67"/>
      <c r="D58" s="46"/>
      <c r="E58" s="46"/>
      <c r="G58" s="34"/>
    </row>
    <row r="59" spans="1:7" x14ac:dyDescent="0.35">
      <c r="A59" s="50" t="s">
        <v>219</v>
      </c>
      <c r="B59" s="66">
        <f>17772*12*0.05</f>
        <v>10663.2</v>
      </c>
      <c r="C59" s="40"/>
      <c r="G59" s="34"/>
    </row>
    <row r="60" spans="1:7" x14ac:dyDescent="0.35">
      <c r="A60" s="50" t="s">
        <v>220</v>
      </c>
      <c r="B60" s="66">
        <f>611*12*0.05</f>
        <v>366.6</v>
      </c>
      <c r="C60" s="40"/>
      <c r="G60" s="34"/>
    </row>
    <row r="61" spans="1:7" x14ac:dyDescent="0.35">
      <c r="A61" s="50" t="s">
        <v>221</v>
      </c>
      <c r="B61" s="66">
        <f>454*12*0.05</f>
        <v>272.40000000000003</v>
      </c>
      <c r="C61" s="40"/>
      <c r="G61" s="34"/>
    </row>
    <row r="62" spans="1:7" x14ac:dyDescent="0.35">
      <c r="A62" s="50" t="s">
        <v>222</v>
      </c>
      <c r="B62" s="66">
        <f>206*12*0.05</f>
        <v>123.60000000000001</v>
      </c>
      <c r="C62" s="40"/>
      <c r="G62" s="34"/>
    </row>
    <row r="63" spans="1:7" x14ac:dyDescent="0.35">
      <c r="A63" s="50"/>
      <c r="B63" s="68"/>
      <c r="G63" s="69"/>
    </row>
    <row r="64" spans="1:7" x14ac:dyDescent="0.35">
      <c r="A64" s="50"/>
      <c r="B64" s="70" t="s">
        <v>223</v>
      </c>
      <c r="G64" s="34"/>
    </row>
    <row r="65" spans="1:8" x14ac:dyDescent="0.35">
      <c r="A65" s="64" t="s">
        <v>224</v>
      </c>
      <c r="B65" s="66">
        <v>300</v>
      </c>
      <c r="E65" s="56" t="s">
        <v>225</v>
      </c>
      <c r="G65" s="69">
        <v>0</v>
      </c>
    </row>
    <row r="66" spans="1:8" x14ac:dyDescent="0.35">
      <c r="A66" s="50"/>
      <c r="B66" s="86"/>
      <c r="C66" s="87"/>
      <c r="D66" s="85"/>
      <c r="E66" s="85"/>
      <c r="F66" s="85"/>
      <c r="G66" s="71"/>
    </row>
    <row r="67" spans="1:8" x14ac:dyDescent="0.35">
      <c r="A67" s="72"/>
      <c r="B67" s="73"/>
      <c r="C67" s="74"/>
      <c r="D67" s="75"/>
      <c r="E67" s="84" t="s">
        <v>234</v>
      </c>
      <c r="F67" s="84"/>
      <c r="G67" s="76">
        <f>SUM(G8:G66)</f>
        <v>0</v>
      </c>
      <c r="H67" s="7" t="s">
        <v>175</v>
      </c>
    </row>
    <row r="68" spans="1:8" x14ac:dyDescent="0.35">
      <c r="A68" s="77"/>
      <c r="B68" s="91"/>
      <c r="C68" s="92"/>
      <c r="D68" s="93"/>
      <c r="E68" s="94" t="s">
        <v>235</v>
      </c>
      <c r="F68" s="94"/>
      <c r="G68" s="76">
        <f>G67*5</f>
        <v>0</v>
      </c>
      <c r="H68" s="7" t="s">
        <v>176</v>
      </c>
    </row>
  </sheetData>
  <mergeCells count="1">
    <mergeCell ref="E55:F55"/>
  </mergeCells>
  <pageMargins left="0.31496062992125984" right="0.23622047244094491" top="0.23622047244094491" bottom="0.23622047244094491" header="0.19685039370078741" footer="0.19685039370078741"/>
  <pageSetup paperSize="8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E63F-CAE8-4247-9059-98E48B1141CF}">
  <sheetPr>
    <tabColor rgb="FF92D050"/>
  </sheetPr>
  <dimension ref="A1:F192"/>
  <sheetViews>
    <sheetView zoomScale="106" zoomScaleNormal="106" workbookViewId="0">
      <pane xSplit="1" ySplit="6" topLeftCell="B194" activePane="bottomRight" state="frozen"/>
      <selection pane="topRight" activeCell="B1" sqref="B1"/>
      <selection pane="bottomLeft" activeCell="A3" sqref="A3"/>
      <selection pane="bottomRight" activeCell="A196" sqref="A196"/>
    </sheetView>
  </sheetViews>
  <sheetFormatPr defaultRowHeight="12.5" x14ac:dyDescent="0.25"/>
  <cols>
    <col min="1" max="1" width="41.81640625" style="7" customWidth="1"/>
    <col min="2" max="2" width="13.81640625" style="7" customWidth="1"/>
    <col min="3" max="3" width="15.81640625" style="7" customWidth="1"/>
    <col min="4" max="4" width="9.1796875" style="7"/>
    <col min="5" max="5" width="24.26953125" style="7" customWidth="1"/>
    <col min="6" max="6" width="31.1796875" style="7" customWidth="1"/>
    <col min="7" max="201" width="9.1796875" style="7"/>
    <col min="202" max="202" width="41.81640625" style="7" customWidth="1"/>
    <col min="203" max="218" width="0" style="7" hidden="1" customWidth="1"/>
    <col min="219" max="219" width="12.54296875" style="7" customWidth="1"/>
    <col min="220" max="220" width="15.26953125" style="7" customWidth="1"/>
    <col min="221" max="221" width="13.1796875" style="7" customWidth="1"/>
    <col min="222" max="222" width="3.54296875" style="7" customWidth="1"/>
    <col min="223" max="223" width="13.1796875" style="7" customWidth="1"/>
    <col min="224" max="224" width="12.81640625" style="7" customWidth="1"/>
    <col min="225" max="226" width="12.453125" style="7" customWidth="1"/>
    <col min="227" max="227" width="8.7265625" style="7" customWidth="1"/>
    <col min="228" max="228" width="12.26953125" style="7" customWidth="1"/>
    <col min="229" max="229" width="10.54296875" style="7" customWidth="1"/>
    <col min="230" max="230" width="12.1796875" style="7" customWidth="1"/>
    <col min="231" max="231" width="9.1796875" style="7"/>
    <col min="232" max="232" width="3.54296875" style="7" customWidth="1"/>
    <col min="233" max="233" width="9.1796875" style="7"/>
    <col min="234" max="234" width="11" style="7" bestFit="1" customWidth="1"/>
    <col min="235" max="235" width="10.26953125" style="7" customWidth="1"/>
    <col min="236" max="236" width="9.81640625" style="7" customWidth="1"/>
    <col min="237" max="237" width="9.1796875" style="7"/>
    <col min="238" max="238" width="2.26953125" style="7" customWidth="1"/>
    <col min="239" max="239" width="10.81640625" style="7" customWidth="1"/>
    <col min="240" max="240" width="13" style="7" customWidth="1"/>
    <col min="241" max="457" width="9.1796875" style="7"/>
    <col min="458" max="458" width="41.81640625" style="7" customWidth="1"/>
    <col min="459" max="474" width="0" style="7" hidden="1" customWidth="1"/>
    <col min="475" max="475" width="12.54296875" style="7" customWidth="1"/>
    <col min="476" max="476" width="15.26953125" style="7" customWidth="1"/>
    <col min="477" max="477" width="13.1796875" style="7" customWidth="1"/>
    <col min="478" max="478" width="3.54296875" style="7" customWidth="1"/>
    <col min="479" max="479" width="13.1796875" style="7" customWidth="1"/>
    <col min="480" max="480" width="12.81640625" style="7" customWidth="1"/>
    <col min="481" max="482" width="12.453125" style="7" customWidth="1"/>
    <col min="483" max="483" width="8.7265625" style="7" customWidth="1"/>
    <col min="484" max="484" width="12.26953125" style="7" customWidth="1"/>
    <col min="485" max="485" width="10.54296875" style="7" customWidth="1"/>
    <col min="486" max="486" width="12.1796875" style="7" customWidth="1"/>
    <col min="487" max="487" width="9.1796875" style="7"/>
    <col min="488" max="488" width="3.54296875" style="7" customWidth="1"/>
    <col min="489" max="489" width="9.1796875" style="7"/>
    <col min="490" max="490" width="11" style="7" bestFit="1" customWidth="1"/>
    <col min="491" max="491" width="10.26953125" style="7" customWidth="1"/>
    <col min="492" max="492" width="9.81640625" style="7" customWidth="1"/>
    <col min="493" max="493" width="9.1796875" style="7"/>
    <col min="494" max="494" width="2.26953125" style="7" customWidth="1"/>
    <col min="495" max="495" width="10.81640625" style="7" customWidth="1"/>
    <col min="496" max="496" width="13" style="7" customWidth="1"/>
    <col min="497" max="713" width="9.1796875" style="7"/>
    <col min="714" max="714" width="41.81640625" style="7" customWidth="1"/>
    <col min="715" max="730" width="0" style="7" hidden="1" customWidth="1"/>
    <col min="731" max="731" width="12.54296875" style="7" customWidth="1"/>
    <col min="732" max="732" width="15.26953125" style="7" customWidth="1"/>
    <col min="733" max="733" width="13.1796875" style="7" customWidth="1"/>
    <col min="734" max="734" width="3.54296875" style="7" customWidth="1"/>
    <col min="735" max="735" width="13.1796875" style="7" customWidth="1"/>
    <col min="736" max="736" width="12.81640625" style="7" customWidth="1"/>
    <col min="737" max="738" width="12.453125" style="7" customWidth="1"/>
    <col min="739" max="739" width="8.7265625" style="7" customWidth="1"/>
    <col min="740" max="740" width="12.26953125" style="7" customWidth="1"/>
    <col min="741" max="741" width="10.54296875" style="7" customWidth="1"/>
    <col min="742" max="742" width="12.1796875" style="7" customWidth="1"/>
    <col min="743" max="743" width="9.1796875" style="7"/>
    <col min="744" max="744" width="3.54296875" style="7" customWidth="1"/>
    <col min="745" max="745" width="9.1796875" style="7"/>
    <col min="746" max="746" width="11" style="7" bestFit="1" customWidth="1"/>
    <col min="747" max="747" width="10.26953125" style="7" customWidth="1"/>
    <col min="748" max="748" width="9.81640625" style="7" customWidth="1"/>
    <col min="749" max="749" width="9.1796875" style="7"/>
    <col min="750" max="750" width="2.26953125" style="7" customWidth="1"/>
    <col min="751" max="751" width="10.81640625" style="7" customWidth="1"/>
    <col min="752" max="752" width="13" style="7" customWidth="1"/>
    <col min="753" max="969" width="9.1796875" style="7"/>
    <col min="970" max="970" width="41.81640625" style="7" customWidth="1"/>
    <col min="971" max="986" width="0" style="7" hidden="1" customWidth="1"/>
    <col min="987" max="987" width="12.54296875" style="7" customWidth="1"/>
    <col min="988" max="988" width="15.26953125" style="7" customWidth="1"/>
    <col min="989" max="989" width="13.1796875" style="7" customWidth="1"/>
    <col min="990" max="990" width="3.54296875" style="7" customWidth="1"/>
    <col min="991" max="991" width="13.1796875" style="7" customWidth="1"/>
    <col min="992" max="992" width="12.81640625" style="7" customWidth="1"/>
    <col min="993" max="994" width="12.453125" style="7" customWidth="1"/>
    <col min="995" max="995" width="8.7265625" style="7" customWidth="1"/>
    <col min="996" max="996" width="12.26953125" style="7" customWidth="1"/>
    <col min="997" max="997" width="10.54296875" style="7" customWidth="1"/>
    <col min="998" max="998" width="12.1796875" style="7" customWidth="1"/>
    <col min="999" max="999" width="9.1796875" style="7"/>
    <col min="1000" max="1000" width="3.54296875" style="7" customWidth="1"/>
    <col min="1001" max="1001" width="9.1796875" style="7"/>
    <col min="1002" max="1002" width="11" style="7" bestFit="1" customWidth="1"/>
    <col min="1003" max="1003" width="10.26953125" style="7" customWidth="1"/>
    <col min="1004" max="1004" width="9.81640625" style="7" customWidth="1"/>
    <col min="1005" max="1005" width="9.1796875" style="7"/>
    <col min="1006" max="1006" width="2.26953125" style="7" customWidth="1"/>
    <col min="1007" max="1007" width="10.81640625" style="7" customWidth="1"/>
    <col min="1008" max="1008" width="13" style="7" customWidth="1"/>
    <col min="1009" max="1225" width="9.1796875" style="7"/>
    <col min="1226" max="1226" width="41.81640625" style="7" customWidth="1"/>
    <col min="1227" max="1242" width="0" style="7" hidden="1" customWidth="1"/>
    <col min="1243" max="1243" width="12.54296875" style="7" customWidth="1"/>
    <col min="1244" max="1244" width="15.26953125" style="7" customWidth="1"/>
    <col min="1245" max="1245" width="13.1796875" style="7" customWidth="1"/>
    <col min="1246" max="1246" width="3.54296875" style="7" customWidth="1"/>
    <col min="1247" max="1247" width="13.1796875" style="7" customWidth="1"/>
    <col min="1248" max="1248" width="12.81640625" style="7" customWidth="1"/>
    <col min="1249" max="1250" width="12.453125" style="7" customWidth="1"/>
    <col min="1251" max="1251" width="8.7265625" style="7" customWidth="1"/>
    <col min="1252" max="1252" width="12.26953125" style="7" customWidth="1"/>
    <col min="1253" max="1253" width="10.54296875" style="7" customWidth="1"/>
    <col min="1254" max="1254" width="12.1796875" style="7" customWidth="1"/>
    <col min="1255" max="1255" width="9.1796875" style="7"/>
    <col min="1256" max="1256" width="3.54296875" style="7" customWidth="1"/>
    <col min="1257" max="1257" width="9.1796875" style="7"/>
    <col min="1258" max="1258" width="11" style="7" bestFit="1" customWidth="1"/>
    <col min="1259" max="1259" width="10.26953125" style="7" customWidth="1"/>
    <col min="1260" max="1260" width="9.81640625" style="7" customWidth="1"/>
    <col min="1261" max="1261" width="9.1796875" style="7"/>
    <col min="1262" max="1262" width="2.26953125" style="7" customWidth="1"/>
    <col min="1263" max="1263" width="10.81640625" style="7" customWidth="1"/>
    <col min="1264" max="1264" width="13" style="7" customWidth="1"/>
    <col min="1265" max="1481" width="9.1796875" style="7"/>
    <col min="1482" max="1482" width="41.81640625" style="7" customWidth="1"/>
    <col min="1483" max="1498" width="0" style="7" hidden="1" customWidth="1"/>
    <col min="1499" max="1499" width="12.54296875" style="7" customWidth="1"/>
    <col min="1500" max="1500" width="15.26953125" style="7" customWidth="1"/>
    <col min="1501" max="1501" width="13.1796875" style="7" customWidth="1"/>
    <col min="1502" max="1502" width="3.54296875" style="7" customWidth="1"/>
    <col min="1503" max="1503" width="13.1796875" style="7" customWidth="1"/>
    <col min="1504" max="1504" width="12.81640625" style="7" customWidth="1"/>
    <col min="1505" max="1506" width="12.453125" style="7" customWidth="1"/>
    <col min="1507" max="1507" width="8.7265625" style="7" customWidth="1"/>
    <col min="1508" max="1508" width="12.26953125" style="7" customWidth="1"/>
    <col min="1509" max="1509" width="10.54296875" style="7" customWidth="1"/>
    <col min="1510" max="1510" width="12.1796875" style="7" customWidth="1"/>
    <col min="1511" max="1511" width="9.1796875" style="7"/>
    <col min="1512" max="1512" width="3.54296875" style="7" customWidth="1"/>
    <col min="1513" max="1513" width="9.1796875" style="7"/>
    <col min="1514" max="1514" width="11" style="7" bestFit="1" customWidth="1"/>
    <col min="1515" max="1515" width="10.26953125" style="7" customWidth="1"/>
    <col min="1516" max="1516" width="9.81640625" style="7" customWidth="1"/>
    <col min="1517" max="1517" width="9.1796875" style="7"/>
    <col min="1518" max="1518" width="2.26953125" style="7" customWidth="1"/>
    <col min="1519" max="1519" width="10.81640625" style="7" customWidth="1"/>
    <col min="1520" max="1520" width="13" style="7" customWidth="1"/>
    <col min="1521" max="1737" width="9.1796875" style="7"/>
    <col min="1738" max="1738" width="41.81640625" style="7" customWidth="1"/>
    <col min="1739" max="1754" width="0" style="7" hidden="1" customWidth="1"/>
    <col min="1755" max="1755" width="12.54296875" style="7" customWidth="1"/>
    <col min="1756" max="1756" width="15.26953125" style="7" customWidth="1"/>
    <col min="1757" max="1757" width="13.1796875" style="7" customWidth="1"/>
    <col min="1758" max="1758" width="3.54296875" style="7" customWidth="1"/>
    <col min="1759" max="1759" width="13.1796875" style="7" customWidth="1"/>
    <col min="1760" max="1760" width="12.81640625" style="7" customWidth="1"/>
    <col min="1761" max="1762" width="12.453125" style="7" customWidth="1"/>
    <col min="1763" max="1763" width="8.7265625" style="7" customWidth="1"/>
    <col min="1764" max="1764" width="12.26953125" style="7" customWidth="1"/>
    <col min="1765" max="1765" width="10.54296875" style="7" customWidth="1"/>
    <col min="1766" max="1766" width="12.1796875" style="7" customWidth="1"/>
    <col min="1767" max="1767" width="9.1796875" style="7"/>
    <col min="1768" max="1768" width="3.54296875" style="7" customWidth="1"/>
    <col min="1769" max="1769" width="9.1796875" style="7"/>
    <col min="1770" max="1770" width="11" style="7" bestFit="1" customWidth="1"/>
    <col min="1771" max="1771" width="10.26953125" style="7" customWidth="1"/>
    <col min="1772" max="1772" width="9.81640625" style="7" customWidth="1"/>
    <col min="1773" max="1773" width="9.1796875" style="7"/>
    <col min="1774" max="1774" width="2.26953125" style="7" customWidth="1"/>
    <col min="1775" max="1775" width="10.81640625" style="7" customWidth="1"/>
    <col min="1776" max="1776" width="13" style="7" customWidth="1"/>
    <col min="1777" max="1993" width="9.1796875" style="7"/>
    <col min="1994" max="1994" width="41.81640625" style="7" customWidth="1"/>
    <col min="1995" max="2010" width="0" style="7" hidden="1" customWidth="1"/>
    <col min="2011" max="2011" width="12.54296875" style="7" customWidth="1"/>
    <col min="2012" max="2012" width="15.26953125" style="7" customWidth="1"/>
    <col min="2013" max="2013" width="13.1796875" style="7" customWidth="1"/>
    <col min="2014" max="2014" width="3.54296875" style="7" customWidth="1"/>
    <col min="2015" max="2015" width="13.1796875" style="7" customWidth="1"/>
    <col min="2016" max="2016" width="12.81640625" style="7" customWidth="1"/>
    <col min="2017" max="2018" width="12.453125" style="7" customWidth="1"/>
    <col min="2019" max="2019" width="8.7265625" style="7" customWidth="1"/>
    <col min="2020" max="2020" width="12.26953125" style="7" customWidth="1"/>
    <col min="2021" max="2021" width="10.54296875" style="7" customWidth="1"/>
    <col min="2022" max="2022" width="12.1796875" style="7" customWidth="1"/>
    <col min="2023" max="2023" width="9.1796875" style="7"/>
    <col min="2024" max="2024" width="3.54296875" style="7" customWidth="1"/>
    <col min="2025" max="2025" width="9.1796875" style="7"/>
    <col min="2026" max="2026" width="11" style="7" bestFit="1" customWidth="1"/>
    <col min="2027" max="2027" width="10.26953125" style="7" customWidth="1"/>
    <col min="2028" max="2028" width="9.81640625" style="7" customWidth="1"/>
    <col min="2029" max="2029" width="9.1796875" style="7"/>
    <col min="2030" max="2030" width="2.26953125" style="7" customWidth="1"/>
    <col min="2031" max="2031" width="10.81640625" style="7" customWidth="1"/>
    <col min="2032" max="2032" width="13" style="7" customWidth="1"/>
    <col min="2033" max="2249" width="9.1796875" style="7"/>
    <col min="2250" max="2250" width="41.81640625" style="7" customWidth="1"/>
    <col min="2251" max="2266" width="0" style="7" hidden="1" customWidth="1"/>
    <col min="2267" max="2267" width="12.54296875" style="7" customWidth="1"/>
    <col min="2268" max="2268" width="15.26953125" style="7" customWidth="1"/>
    <col min="2269" max="2269" width="13.1796875" style="7" customWidth="1"/>
    <col min="2270" max="2270" width="3.54296875" style="7" customWidth="1"/>
    <col min="2271" max="2271" width="13.1796875" style="7" customWidth="1"/>
    <col min="2272" max="2272" width="12.81640625" style="7" customWidth="1"/>
    <col min="2273" max="2274" width="12.453125" style="7" customWidth="1"/>
    <col min="2275" max="2275" width="8.7265625" style="7" customWidth="1"/>
    <col min="2276" max="2276" width="12.26953125" style="7" customWidth="1"/>
    <col min="2277" max="2277" width="10.54296875" style="7" customWidth="1"/>
    <col min="2278" max="2278" width="12.1796875" style="7" customWidth="1"/>
    <col min="2279" max="2279" width="9.1796875" style="7"/>
    <col min="2280" max="2280" width="3.54296875" style="7" customWidth="1"/>
    <col min="2281" max="2281" width="9.1796875" style="7"/>
    <col min="2282" max="2282" width="11" style="7" bestFit="1" customWidth="1"/>
    <col min="2283" max="2283" width="10.26953125" style="7" customWidth="1"/>
    <col min="2284" max="2284" width="9.81640625" style="7" customWidth="1"/>
    <col min="2285" max="2285" width="9.1796875" style="7"/>
    <col min="2286" max="2286" width="2.26953125" style="7" customWidth="1"/>
    <col min="2287" max="2287" width="10.81640625" style="7" customWidth="1"/>
    <col min="2288" max="2288" width="13" style="7" customWidth="1"/>
    <col min="2289" max="2505" width="9.1796875" style="7"/>
    <col min="2506" max="2506" width="41.81640625" style="7" customWidth="1"/>
    <col min="2507" max="2522" width="0" style="7" hidden="1" customWidth="1"/>
    <col min="2523" max="2523" width="12.54296875" style="7" customWidth="1"/>
    <col min="2524" max="2524" width="15.26953125" style="7" customWidth="1"/>
    <col min="2525" max="2525" width="13.1796875" style="7" customWidth="1"/>
    <col min="2526" max="2526" width="3.54296875" style="7" customWidth="1"/>
    <col min="2527" max="2527" width="13.1796875" style="7" customWidth="1"/>
    <col min="2528" max="2528" width="12.81640625" style="7" customWidth="1"/>
    <col min="2529" max="2530" width="12.453125" style="7" customWidth="1"/>
    <col min="2531" max="2531" width="8.7265625" style="7" customWidth="1"/>
    <col min="2532" max="2532" width="12.26953125" style="7" customWidth="1"/>
    <col min="2533" max="2533" width="10.54296875" style="7" customWidth="1"/>
    <col min="2534" max="2534" width="12.1796875" style="7" customWidth="1"/>
    <col min="2535" max="2535" width="9.1796875" style="7"/>
    <col min="2536" max="2536" width="3.54296875" style="7" customWidth="1"/>
    <col min="2537" max="2537" width="9.1796875" style="7"/>
    <col min="2538" max="2538" width="11" style="7" bestFit="1" customWidth="1"/>
    <col min="2539" max="2539" width="10.26953125" style="7" customWidth="1"/>
    <col min="2540" max="2540" width="9.81640625" style="7" customWidth="1"/>
    <col min="2541" max="2541" width="9.1796875" style="7"/>
    <col min="2542" max="2542" width="2.26953125" style="7" customWidth="1"/>
    <col min="2543" max="2543" width="10.81640625" style="7" customWidth="1"/>
    <col min="2544" max="2544" width="13" style="7" customWidth="1"/>
    <col min="2545" max="2761" width="9.1796875" style="7"/>
    <col min="2762" max="2762" width="41.81640625" style="7" customWidth="1"/>
    <col min="2763" max="2778" width="0" style="7" hidden="1" customWidth="1"/>
    <col min="2779" max="2779" width="12.54296875" style="7" customWidth="1"/>
    <col min="2780" max="2780" width="15.26953125" style="7" customWidth="1"/>
    <col min="2781" max="2781" width="13.1796875" style="7" customWidth="1"/>
    <col min="2782" max="2782" width="3.54296875" style="7" customWidth="1"/>
    <col min="2783" max="2783" width="13.1796875" style="7" customWidth="1"/>
    <col min="2784" max="2784" width="12.81640625" style="7" customWidth="1"/>
    <col min="2785" max="2786" width="12.453125" style="7" customWidth="1"/>
    <col min="2787" max="2787" width="8.7265625" style="7" customWidth="1"/>
    <col min="2788" max="2788" width="12.26953125" style="7" customWidth="1"/>
    <col min="2789" max="2789" width="10.54296875" style="7" customWidth="1"/>
    <col min="2790" max="2790" width="12.1796875" style="7" customWidth="1"/>
    <col min="2791" max="2791" width="9.1796875" style="7"/>
    <col min="2792" max="2792" width="3.54296875" style="7" customWidth="1"/>
    <col min="2793" max="2793" width="9.1796875" style="7"/>
    <col min="2794" max="2794" width="11" style="7" bestFit="1" customWidth="1"/>
    <col min="2795" max="2795" width="10.26953125" style="7" customWidth="1"/>
    <col min="2796" max="2796" width="9.81640625" style="7" customWidth="1"/>
    <col min="2797" max="2797" width="9.1796875" style="7"/>
    <col min="2798" max="2798" width="2.26953125" style="7" customWidth="1"/>
    <col min="2799" max="2799" width="10.81640625" style="7" customWidth="1"/>
    <col min="2800" max="2800" width="13" style="7" customWidth="1"/>
    <col min="2801" max="3017" width="9.1796875" style="7"/>
    <col min="3018" max="3018" width="41.81640625" style="7" customWidth="1"/>
    <col min="3019" max="3034" width="0" style="7" hidden="1" customWidth="1"/>
    <col min="3035" max="3035" width="12.54296875" style="7" customWidth="1"/>
    <col min="3036" max="3036" width="15.26953125" style="7" customWidth="1"/>
    <col min="3037" max="3037" width="13.1796875" style="7" customWidth="1"/>
    <col min="3038" max="3038" width="3.54296875" style="7" customWidth="1"/>
    <col min="3039" max="3039" width="13.1796875" style="7" customWidth="1"/>
    <col min="3040" max="3040" width="12.81640625" style="7" customWidth="1"/>
    <col min="3041" max="3042" width="12.453125" style="7" customWidth="1"/>
    <col min="3043" max="3043" width="8.7265625" style="7" customWidth="1"/>
    <col min="3044" max="3044" width="12.26953125" style="7" customWidth="1"/>
    <col min="3045" max="3045" width="10.54296875" style="7" customWidth="1"/>
    <col min="3046" max="3046" width="12.1796875" style="7" customWidth="1"/>
    <col min="3047" max="3047" width="9.1796875" style="7"/>
    <col min="3048" max="3048" width="3.54296875" style="7" customWidth="1"/>
    <col min="3049" max="3049" width="9.1796875" style="7"/>
    <col min="3050" max="3050" width="11" style="7" bestFit="1" customWidth="1"/>
    <col min="3051" max="3051" width="10.26953125" style="7" customWidth="1"/>
    <col min="3052" max="3052" width="9.81640625" style="7" customWidth="1"/>
    <col min="3053" max="3053" width="9.1796875" style="7"/>
    <col min="3054" max="3054" width="2.26953125" style="7" customWidth="1"/>
    <col min="3055" max="3055" width="10.81640625" style="7" customWidth="1"/>
    <col min="3056" max="3056" width="13" style="7" customWidth="1"/>
    <col min="3057" max="3273" width="9.1796875" style="7"/>
    <col min="3274" max="3274" width="41.81640625" style="7" customWidth="1"/>
    <col min="3275" max="3290" width="0" style="7" hidden="1" customWidth="1"/>
    <col min="3291" max="3291" width="12.54296875" style="7" customWidth="1"/>
    <col min="3292" max="3292" width="15.26953125" style="7" customWidth="1"/>
    <col min="3293" max="3293" width="13.1796875" style="7" customWidth="1"/>
    <col min="3294" max="3294" width="3.54296875" style="7" customWidth="1"/>
    <col min="3295" max="3295" width="13.1796875" style="7" customWidth="1"/>
    <col min="3296" max="3296" width="12.81640625" style="7" customWidth="1"/>
    <col min="3297" max="3298" width="12.453125" style="7" customWidth="1"/>
    <col min="3299" max="3299" width="8.7265625" style="7" customWidth="1"/>
    <col min="3300" max="3300" width="12.26953125" style="7" customWidth="1"/>
    <col min="3301" max="3301" width="10.54296875" style="7" customWidth="1"/>
    <col min="3302" max="3302" width="12.1796875" style="7" customWidth="1"/>
    <col min="3303" max="3303" width="9.1796875" style="7"/>
    <col min="3304" max="3304" width="3.54296875" style="7" customWidth="1"/>
    <col min="3305" max="3305" width="9.1796875" style="7"/>
    <col min="3306" max="3306" width="11" style="7" bestFit="1" customWidth="1"/>
    <col min="3307" max="3307" width="10.26953125" style="7" customWidth="1"/>
    <col min="3308" max="3308" width="9.81640625" style="7" customWidth="1"/>
    <col min="3309" max="3309" width="9.1796875" style="7"/>
    <col min="3310" max="3310" width="2.26953125" style="7" customWidth="1"/>
    <col min="3311" max="3311" width="10.81640625" style="7" customWidth="1"/>
    <col min="3312" max="3312" width="13" style="7" customWidth="1"/>
    <col min="3313" max="3529" width="9.1796875" style="7"/>
    <col min="3530" max="3530" width="41.81640625" style="7" customWidth="1"/>
    <col min="3531" max="3546" width="0" style="7" hidden="1" customWidth="1"/>
    <col min="3547" max="3547" width="12.54296875" style="7" customWidth="1"/>
    <col min="3548" max="3548" width="15.26953125" style="7" customWidth="1"/>
    <col min="3549" max="3549" width="13.1796875" style="7" customWidth="1"/>
    <col min="3550" max="3550" width="3.54296875" style="7" customWidth="1"/>
    <col min="3551" max="3551" width="13.1796875" style="7" customWidth="1"/>
    <col min="3552" max="3552" width="12.81640625" style="7" customWidth="1"/>
    <col min="3553" max="3554" width="12.453125" style="7" customWidth="1"/>
    <col min="3555" max="3555" width="8.7265625" style="7" customWidth="1"/>
    <col min="3556" max="3556" width="12.26953125" style="7" customWidth="1"/>
    <col min="3557" max="3557" width="10.54296875" style="7" customWidth="1"/>
    <col min="3558" max="3558" width="12.1796875" style="7" customWidth="1"/>
    <col min="3559" max="3559" width="9.1796875" style="7"/>
    <col min="3560" max="3560" width="3.54296875" style="7" customWidth="1"/>
    <col min="3561" max="3561" width="9.1796875" style="7"/>
    <col min="3562" max="3562" width="11" style="7" bestFit="1" customWidth="1"/>
    <col min="3563" max="3563" width="10.26953125" style="7" customWidth="1"/>
    <col min="3564" max="3564" width="9.81640625" style="7" customWidth="1"/>
    <col min="3565" max="3565" width="9.1796875" style="7"/>
    <col min="3566" max="3566" width="2.26953125" style="7" customWidth="1"/>
    <col min="3567" max="3567" width="10.81640625" style="7" customWidth="1"/>
    <col min="3568" max="3568" width="13" style="7" customWidth="1"/>
    <col min="3569" max="3785" width="9.1796875" style="7"/>
    <col min="3786" max="3786" width="41.81640625" style="7" customWidth="1"/>
    <col min="3787" max="3802" width="0" style="7" hidden="1" customWidth="1"/>
    <col min="3803" max="3803" width="12.54296875" style="7" customWidth="1"/>
    <col min="3804" max="3804" width="15.26953125" style="7" customWidth="1"/>
    <col min="3805" max="3805" width="13.1796875" style="7" customWidth="1"/>
    <col min="3806" max="3806" width="3.54296875" style="7" customWidth="1"/>
    <col min="3807" max="3807" width="13.1796875" style="7" customWidth="1"/>
    <col min="3808" max="3808" width="12.81640625" style="7" customWidth="1"/>
    <col min="3809" max="3810" width="12.453125" style="7" customWidth="1"/>
    <col min="3811" max="3811" width="8.7265625" style="7" customWidth="1"/>
    <col min="3812" max="3812" width="12.26953125" style="7" customWidth="1"/>
    <col min="3813" max="3813" width="10.54296875" style="7" customWidth="1"/>
    <col min="3814" max="3814" width="12.1796875" style="7" customWidth="1"/>
    <col min="3815" max="3815" width="9.1796875" style="7"/>
    <col min="3816" max="3816" width="3.54296875" style="7" customWidth="1"/>
    <col min="3817" max="3817" width="9.1796875" style="7"/>
    <col min="3818" max="3818" width="11" style="7" bestFit="1" customWidth="1"/>
    <col min="3819" max="3819" width="10.26953125" style="7" customWidth="1"/>
    <col min="3820" max="3820" width="9.81640625" style="7" customWidth="1"/>
    <col min="3821" max="3821" width="9.1796875" style="7"/>
    <col min="3822" max="3822" width="2.26953125" style="7" customWidth="1"/>
    <col min="3823" max="3823" width="10.81640625" style="7" customWidth="1"/>
    <col min="3824" max="3824" width="13" style="7" customWidth="1"/>
    <col min="3825" max="4041" width="9.1796875" style="7"/>
    <col min="4042" max="4042" width="41.81640625" style="7" customWidth="1"/>
    <col min="4043" max="4058" width="0" style="7" hidden="1" customWidth="1"/>
    <col min="4059" max="4059" width="12.54296875" style="7" customWidth="1"/>
    <col min="4060" max="4060" width="15.26953125" style="7" customWidth="1"/>
    <col min="4061" max="4061" width="13.1796875" style="7" customWidth="1"/>
    <col min="4062" max="4062" width="3.54296875" style="7" customWidth="1"/>
    <col min="4063" max="4063" width="13.1796875" style="7" customWidth="1"/>
    <col min="4064" max="4064" width="12.81640625" style="7" customWidth="1"/>
    <col min="4065" max="4066" width="12.453125" style="7" customWidth="1"/>
    <col min="4067" max="4067" width="8.7265625" style="7" customWidth="1"/>
    <col min="4068" max="4068" width="12.26953125" style="7" customWidth="1"/>
    <col min="4069" max="4069" width="10.54296875" style="7" customWidth="1"/>
    <col min="4070" max="4070" width="12.1796875" style="7" customWidth="1"/>
    <col min="4071" max="4071" width="9.1796875" style="7"/>
    <col min="4072" max="4072" width="3.54296875" style="7" customWidth="1"/>
    <col min="4073" max="4073" width="9.1796875" style="7"/>
    <col min="4074" max="4074" width="11" style="7" bestFit="1" customWidth="1"/>
    <col min="4075" max="4075" width="10.26953125" style="7" customWidth="1"/>
    <col min="4076" max="4076" width="9.81640625" style="7" customWidth="1"/>
    <col min="4077" max="4077" width="9.1796875" style="7"/>
    <col min="4078" max="4078" width="2.26953125" style="7" customWidth="1"/>
    <col min="4079" max="4079" width="10.81640625" style="7" customWidth="1"/>
    <col min="4080" max="4080" width="13" style="7" customWidth="1"/>
    <col min="4081" max="4297" width="9.1796875" style="7"/>
    <col min="4298" max="4298" width="41.81640625" style="7" customWidth="1"/>
    <col min="4299" max="4314" width="0" style="7" hidden="1" customWidth="1"/>
    <col min="4315" max="4315" width="12.54296875" style="7" customWidth="1"/>
    <col min="4316" max="4316" width="15.26953125" style="7" customWidth="1"/>
    <col min="4317" max="4317" width="13.1796875" style="7" customWidth="1"/>
    <col min="4318" max="4318" width="3.54296875" style="7" customWidth="1"/>
    <col min="4319" max="4319" width="13.1796875" style="7" customWidth="1"/>
    <col min="4320" max="4320" width="12.81640625" style="7" customWidth="1"/>
    <col min="4321" max="4322" width="12.453125" style="7" customWidth="1"/>
    <col min="4323" max="4323" width="8.7265625" style="7" customWidth="1"/>
    <col min="4324" max="4324" width="12.26953125" style="7" customWidth="1"/>
    <col min="4325" max="4325" width="10.54296875" style="7" customWidth="1"/>
    <col min="4326" max="4326" width="12.1796875" style="7" customWidth="1"/>
    <col min="4327" max="4327" width="9.1796875" style="7"/>
    <col min="4328" max="4328" width="3.54296875" style="7" customWidth="1"/>
    <col min="4329" max="4329" width="9.1796875" style="7"/>
    <col min="4330" max="4330" width="11" style="7" bestFit="1" customWidth="1"/>
    <col min="4331" max="4331" width="10.26953125" style="7" customWidth="1"/>
    <col min="4332" max="4332" width="9.81640625" style="7" customWidth="1"/>
    <col min="4333" max="4333" width="9.1796875" style="7"/>
    <col min="4334" max="4334" width="2.26953125" style="7" customWidth="1"/>
    <col min="4335" max="4335" width="10.81640625" style="7" customWidth="1"/>
    <col min="4336" max="4336" width="13" style="7" customWidth="1"/>
    <col min="4337" max="4553" width="9.1796875" style="7"/>
    <col min="4554" max="4554" width="41.81640625" style="7" customWidth="1"/>
    <col min="4555" max="4570" width="0" style="7" hidden="1" customWidth="1"/>
    <col min="4571" max="4571" width="12.54296875" style="7" customWidth="1"/>
    <col min="4572" max="4572" width="15.26953125" style="7" customWidth="1"/>
    <col min="4573" max="4573" width="13.1796875" style="7" customWidth="1"/>
    <col min="4574" max="4574" width="3.54296875" style="7" customWidth="1"/>
    <col min="4575" max="4575" width="13.1796875" style="7" customWidth="1"/>
    <col min="4576" max="4576" width="12.81640625" style="7" customWidth="1"/>
    <col min="4577" max="4578" width="12.453125" style="7" customWidth="1"/>
    <col min="4579" max="4579" width="8.7265625" style="7" customWidth="1"/>
    <col min="4580" max="4580" width="12.26953125" style="7" customWidth="1"/>
    <col min="4581" max="4581" width="10.54296875" style="7" customWidth="1"/>
    <col min="4582" max="4582" width="12.1796875" style="7" customWidth="1"/>
    <col min="4583" max="4583" width="9.1796875" style="7"/>
    <col min="4584" max="4584" width="3.54296875" style="7" customWidth="1"/>
    <col min="4585" max="4585" width="9.1796875" style="7"/>
    <col min="4586" max="4586" width="11" style="7" bestFit="1" customWidth="1"/>
    <col min="4587" max="4587" width="10.26953125" style="7" customWidth="1"/>
    <col min="4588" max="4588" width="9.81640625" style="7" customWidth="1"/>
    <col min="4589" max="4589" width="9.1796875" style="7"/>
    <col min="4590" max="4590" width="2.26953125" style="7" customWidth="1"/>
    <col min="4591" max="4591" width="10.81640625" style="7" customWidth="1"/>
    <col min="4592" max="4592" width="13" style="7" customWidth="1"/>
    <col min="4593" max="4809" width="9.1796875" style="7"/>
    <col min="4810" max="4810" width="41.81640625" style="7" customWidth="1"/>
    <col min="4811" max="4826" width="0" style="7" hidden="1" customWidth="1"/>
    <col min="4827" max="4827" width="12.54296875" style="7" customWidth="1"/>
    <col min="4828" max="4828" width="15.26953125" style="7" customWidth="1"/>
    <col min="4829" max="4829" width="13.1796875" style="7" customWidth="1"/>
    <col min="4830" max="4830" width="3.54296875" style="7" customWidth="1"/>
    <col min="4831" max="4831" width="13.1796875" style="7" customWidth="1"/>
    <col min="4832" max="4832" width="12.81640625" style="7" customWidth="1"/>
    <col min="4833" max="4834" width="12.453125" style="7" customWidth="1"/>
    <col min="4835" max="4835" width="8.7265625" style="7" customWidth="1"/>
    <col min="4836" max="4836" width="12.26953125" style="7" customWidth="1"/>
    <col min="4837" max="4837" width="10.54296875" style="7" customWidth="1"/>
    <col min="4838" max="4838" width="12.1796875" style="7" customWidth="1"/>
    <col min="4839" max="4839" width="9.1796875" style="7"/>
    <col min="4840" max="4840" width="3.54296875" style="7" customWidth="1"/>
    <col min="4841" max="4841" width="9.1796875" style="7"/>
    <col min="4842" max="4842" width="11" style="7" bestFit="1" customWidth="1"/>
    <col min="4843" max="4843" width="10.26953125" style="7" customWidth="1"/>
    <col min="4844" max="4844" width="9.81640625" style="7" customWidth="1"/>
    <col min="4845" max="4845" width="9.1796875" style="7"/>
    <col min="4846" max="4846" width="2.26953125" style="7" customWidth="1"/>
    <col min="4847" max="4847" width="10.81640625" style="7" customWidth="1"/>
    <col min="4848" max="4848" width="13" style="7" customWidth="1"/>
    <col min="4849" max="5065" width="9.1796875" style="7"/>
    <col min="5066" max="5066" width="41.81640625" style="7" customWidth="1"/>
    <col min="5067" max="5082" width="0" style="7" hidden="1" customWidth="1"/>
    <col min="5083" max="5083" width="12.54296875" style="7" customWidth="1"/>
    <col min="5084" max="5084" width="15.26953125" style="7" customWidth="1"/>
    <col min="5085" max="5085" width="13.1796875" style="7" customWidth="1"/>
    <col min="5086" max="5086" width="3.54296875" style="7" customWidth="1"/>
    <col min="5087" max="5087" width="13.1796875" style="7" customWidth="1"/>
    <col min="5088" max="5088" width="12.81640625" style="7" customWidth="1"/>
    <col min="5089" max="5090" width="12.453125" style="7" customWidth="1"/>
    <col min="5091" max="5091" width="8.7265625" style="7" customWidth="1"/>
    <col min="5092" max="5092" width="12.26953125" style="7" customWidth="1"/>
    <col min="5093" max="5093" width="10.54296875" style="7" customWidth="1"/>
    <col min="5094" max="5094" width="12.1796875" style="7" customWidth="1"/>
    <col min="5095" max="5095" width="9.1796875" style="7"/>
    <col min="5096" max="5096" width="3.54296875" style="7" customWidth="1"/>
    <col min="5097" max="5097" width="9.1796875" style="7"/>
    <col min="5098" max="5098" width="11" style="7" bestFit="1" customWidth="1"/>
    <col min="5099" max="5099" width="10.26953125" style="7" customWidth="1"/>
    <col min="5100" max="5100" width="9.81640625" style="7" customWidth="1"/>
    <col min="5101" max="5101" width="9.1796875" style="7"/>
    <col min="5102" max="5102" width="2.26953125" style="7" customWidth="1"/>
    <col min="5103" max="5103" width="10.81640625" style="7" customWidth="1"/>
    <col min="5104" max="5104" width="13" style="7" customWidth="1"/>
    <col min="5105" max="5321" width="9.1796875" style="7"/>
    <col min="5322" max="5322" width="41.81640625" style="7" customWidth="1"/>
    <col min="5323" max="5338" width="0" style="7" hidden="1" customWidth="1"/>
    <col min="5339" max="5339" width="12.54296875" style="7" customWidth="1"/>
    <col min="5340" max="5340" width="15.26953125" style="7" customWidth="1"/>
    <col min="5341" max="5341" width="13.1796875" style="7" customWidth="1"/>
    <col min="5342" max="5342" width="3.54296875" style="7" customWidth="1"/>
    <col min="5343" max="5343" width="13.1796875" style="7" customWidth="1"/>
    <col min="5344" max="5344" width="12.81640625" style="7" customWidth="1"/>
    <col min="5345" max="5346" width="12.453125" style="7" customWidth="1"/>
    <col min="5347" max="5347" width="8.7265625" style="7" customWidth="1"/>
    <col min="5348" max="5348" width="12.26953125" style="7" customWidth="1"/>
    <col min="5349" max="5349" width="10.54296875" style="7" customWidth="1"/>
    <col min="5350" max="5350" width="12.1796875" style="7" customWidth="1"/>
    <col min="5351" max="5351" width="9.1796875" style="7"/>
    <col min="5352" max="5352" width="3.54296875" style="7" customWidth="1"/>
    <col min="5353" max="5353" width="9.1796875" style="7"/>
    <col min="5354" max="5354" width="11" style="7" bestFit="1" customWidth="1"/>
    <col min="5355" max="5355" width="10.26953125" style="7" customWidth="1"/>
    <col min="5356" max="5356" width="9.81640625" style="7" customWidth="1"/>
    <col min="5357" max="5357" width="9.1796875" style="7"/>
    <col min="5358" max="5358" width="2.26953125" style="7" customWidth="1"/>
    <col min="5359" max="5359" width="10.81640625" style="7" customWidth="1"/>
    <col min="5360" max="5360" width="13" style="7" customWidth="1"/>
    <col min="5361" max="5577" width="9.1796875" style="7"/>
    <col min="5578" max="5578" width="41.81640625" style="7" customWidth="1"/>
    <col min="5579" max="5594" width="0" style="7" hidden="1" customWidth="1"/>
    <col min="5595" max="5595" width="12.54296875" style="7" customWidth="1"/>
    <col min="5596" max="5596" width="15.26953125" style="7" customWidth="1"/>
    <col min="5597" max="5597" width="13.1796875" style="7" customWidth="1"/>
    <col min="5598" max="5598" width="3.54296875" style="7" customWidth="1"/>
    <col min="5599" max="5599" width="13.1796875" style="7" customWidth="1"/>
    <col min="5600" max="5600" width="12.81640625" style="7" customWidth="1"/>
    <col min="5601" max="5602" width="12.453125" style="7" customWidth="1"/>
    <col min="5603" max="5603" width="8.7265625" style="7" customWidth="1"/>
    <col min="5604" max="5604" width="12.26953125" style="7" customWidth="1"/>
    <col min="5605" max="5605" width="10.54296875" style="7" customWidth="1"/>
    <col min="5606" max="5606" width="12.1796875" style="7" customWidth="1"/>
    <col min="5607" max="5607" width="9.1796875" style="7"/>
    <col min="5608" max="5608" width="3.54296875" style="7" customWidth="1"/>
    <col min="5609" max="5609" width="9.1796875" style="7"/>
    <col min="5610" max="5610" width="11" style="7" bestFit="1" customWidth="1"/>
    <col min="5611" max="5611" width="10.26953125" style="7" customWidth="1"/>
    <col min="5612" max="5612" width="9.81640625" style="7" customWidth="1"/>
    <col min="5613" max="5613" width="9.1796875" style="7"/>
    <col min="5614" max="5614" width="2.26953125" style="7" customWidth="1"/>
    <col min="5615" max="5615" width="10.81640625" style="7" customWidth="1"/>
    <col min="5616" max="5616" width="13" style="7" customWidth="1"/>
    <col min="5617" max="5833" width="9.1796875" style="7"/>
    <col min="5834" max="5834" width="41.81640625" style="7" customWidth="1"/>
    <col min="5835" max="5850" width="0" style="7" hidden="1" customWidth="1"/>
    <col min="5851" max="5851" width="12.54296875" style="7" customWidth="1"/>
    <col min="5852" max="5852" width="15.26953125" style="7" customWidth="1"/>
    <col min="5853" max="5853" width="13.1796875" style="7" customWidth="1"/>
    <col min="5854" max="5854" width="3.54296875" style="7" customWidth="1"/>
    <col min="5855" max="5855" width="13.1796875" style="7" customWidth="1"/>
    <col min="5856" max="5856" width="12.81640625" style="7" customWidth="1"/>
    <col min="5857" max="5858" width="12.453125" style="7" customWidth="1"/>
    <col min="5859" max="5859" width="8.7265625" style="7" customWidth="1"/>
    <col min="5860" max="5860" width="12.26953125" style="7" customWidth="1"/>
    <col min="5861" max="5861" width="10.54296875" style="7" customWidth="1"/>
    <col min="5862" max="5862" width="12.1796875" style="7" customWidth="1"/>
    <col min="5863" max="5863" width="9.1796875" style="7"/>
    <col min="5864" max="5864" width="3.54296875" style="7" customWidth="1"/>
    <col min="5865" max="5865" width="9.1796875" style="7"/>
    <col min="5866" max="5866" width="11" style="7" bestFit="1" customWidth="1"/>
    <col min="5867" max="5867" width="10.26953125" style="7" customWidth="1"/>
    <col min="5868" max="5868" width="9.81640625" style="7" customWidth="1"/>
    <col min="5869" max="5869" width="9.1796875" style="7"/>
    <col min="5870" max="5870" width="2.26953125" style="7" customWidth="1"/>
    <col min="5871" max="5871" width="10.81640625" style="7" customWidth="1"/>
    <col min="5872" max="5872" width="13" style="7" customWidth="1"/>
    <col min="5873" max="6089" width="9.1796875" style="7"/>
    <col min="6090" max="6090" width="41.81640625" style="7" customWidth="1"/>
    <col min="6091" max="6106" width="0" style="7" hidden="1" customWidth="1"/>
    <col min="6107" max="6107" width="12.54296875" style="7" customWidth="1"/>
    <col min="6108" max="6108" width="15.26953125" style="7" customWidth="1"/>
    <col min="6109" max="6109" width="13.1796875" style="7" customWidth="1"/>
    <col min="6110" max="6110" width="3.54296875" style="7" customWidth="1"/>
    <col min="6111" max="6111" width="13.1796875" style="7" customWidth="1"/>
    <col min="6112" max="6112" width="12.81640625" style="7" customWidth="1"/>
    <col min="6113" max="6114" width="12.453125" style="7" customWidth="1"/>
    <col min="6115" max="6115" width="8.7265625" style="7" customWidth="1"/>
    <col min="6116" max="6116" width="12.26953125" style="7" customWidth="1"/>
    <col min="6117" max="6117" width="10.54296875" style="7" customWidth="1"/>
    <col min="6118" max="6118" width="12.1796875" style="7" customWidth="1"/>
    <col min="6119" max="6119" width="9.1796875" style="7"/>
    <col min="6120" max="6120" width="3.54296875" style="7" customWidth="1"/>
    <col min="6121" max="6121" width="9.1796875" style="7"/>
    <col min="6122" max="6122" width="11" style="7" bestFit="1" customWidth="1"/>
    <col min="6123" max="6123" width="10.26953125" style="7" customWidth="1"/>
    <col min="6124" max="6124" width="9.81640625" style="7" customWidth="1"/>
    <col min="6125" max="6125" width="9.1796875" style="7"/>
    <col min="6126" max="6126" width="2.26953125" style="7" customWidth="1"/>
    <col min="6127" max="6127" width="10.81640625" style="7" customWidth="1"/>
    <col min="6128" max="6128" width="13" style="7" customWidth="1"/>
    <col min="6129" max="6345" width="9.1796875" style="7"/>
    <col min="6346" max="6346" width="41.81640625" style="7" customWidth="1"/>
    <col min="6347" max="6362" width="0" style="7" hidden="1" customWidth="1"/>
    <col min="6363" max="6363" width="12.54296875" style="7" customWidth="1"/>
    <col min="6364" max="6364" width="15.26953125" style="7" customWidth="1"/>
    <col min="6365" max="6365" width="13.1796875" style="7" customWidth="1"/>
    <col min="6366" max="6366" width="3.54296875" style="7" customWidth="1"/>
    <col min="6367" max="6367" width="13.1796875" style="7" customWidth="1"/>
    <col min="6368" max="6368" width="12.81640625" style="7" customWidth="1"/>
    <col min="6369" max="6370" width="12.453125" style="7" customWidth="1"/>
    <col min="6371" max="6371" width="8.7265625" style="7" customWidth="1"/>
    <col min="6372" max="6372" width="12.26953125" style="7" customWidth="1"/>
    <col min="6373" max="6373" width="10.54296875" style="7" customWidth="1"/>
    <col min="6374" max="6374" width="12.1796875" style="7" customWidth="1"/>
    <col min="6375" max="6375" width="9.1796875" style="7"/>
    <col min="6376" max="6376" width="3.54296875" style="7" customWidth="1"/>
    <col min="6377" max="6377" width="9.1796875" style="7"/>
    <col min="6378" max="6378" width="11" style="7" bestFit="1" customWidth="1"/>
    <col min="6379" max="6379" width="10.26953125" style="7" customWidth="1"/>
    <col min="6380" max="6380" width="9.81640625" style="7" customWidth="1"/>
    <col min="6381" max="6381" width="9.1796875" style="7"/>
    <col min="6382" max="6382" width="2.26953125" style="7" customWidth="1"/>
    <col min="6383" max="6383" width="10.81640625" style="7" customWidth="1"/>
    <col min="6384" max="6384" width="13" style="7" customWidth="1"/>
    <col min="6385" max="6601" width="9.1796875" style="7"/>
    <col min="6602" max="6602" width="41.81640625" style="7" customWidth="1"/>
    <col min="6603" max="6618" width="0" style="7" hidden="1" customWidth="1"/>
    <col min="6619" max="6619" width="12.54296875" style="7" customWidth="1"/>
    <col min="6620" max="6620" width="15.26953125" style="7" customWidth="1"/>
    <col min="6621" max="6621" width="13.1796875" style="7" customWidth="1"/>
    <col min="6622" max="6622" width="3.54296875" style="7" customWidth="1"/>
    <col min="6623" max="6623" width="13.1796875" style="7" customWidth="1"/>
    <col min="6624" max="6624" width="12.81640625" style="7" customWidth="1"/>
    <col min="6625" max="6626" width="12.453125" style="7" customWidth="1"/>
    <col min="6627" max="6627" width="8.7265625" style="7" customWidth="1"/>
    <col min="6628" max="6628" width="12.26953125" style="7" customWidth="1"/>
    <col min="6629" max="6629" width="10.54296875" style="7" customWidth="1"/>
    <col min="6630" max="6630" width="12.1796875" style="7" customWidth="1"/>
    <col min="6631" max="6631" width="9.1796875" style="7"/>
    <col min="6632" max="6632" width="3.54296875" style="7" customWidth="1"/>
    <col min="6633" max="6633" width="9.1796875" style="7"/>
    <col min="6634" max="6634" width="11" style="7" bestFit="1" customWidth="1"/>
    <col min="6635" max="6635" width="10.26953125" style="7" customWidth="1"/>
    <col min="6636" max="6636" width="9.81640625" style="7" customWidth="1"/>
    <col min="6637" max="6637" width="9.1796875" style="7"/>
    <col min="6638" max="6638" width="2.26953125" style="7" customWidth="1"/>
    <col min="6639" max="6639" width="10.81640625" style="7" customWidth="1"/>
    <col min="6640" max="6640" width="13" style="7" customWidth="1"/>
    <col min="6641" max="6857" width="9.1796875" style="7"/>
    <col min="6858" max="6858" width="41.81640625" style="7" customWidth="1"/>
    <col min="6859" max="6874" width="0" style="7" hidden="1" customWidth="1"/>
    <col min="6875" max="6875" width="12.54296875" style="7" customWidth="1"/>
    <col min="6876" max="6876" width="15.26953125" style="7" customWidth="1"/>
    <col min="6877" max="6877" width="13.1796875" style="7" customWidth="1"/>
    <col min="6878" max="6878" width="3.54296875" style="7" customWidth="1"/>
    <col min="6879" max="6879" width="13.1796875" style="7" customWidth="1"/>
    <col min="6880" max="6880" width="12.81640625" style="7" customWidth="1"/>
    <col min="6881" max="6882" width="12.453125" style="7" customWidth="1"/>
    <col min="6883" max="6883" width="8.7265625" style="7" customWidth="1"/>
    <col min="6884" max="6884" width="12.26953125" style="7" customWidth="1"/>
    <col min="6885" max="6885" width="10.54296875" style="7" customWidth="1"/>
    <col min="6886" max="6886" width="12.1796875" style="7" customWidth="1"/>
    <col min="6887" max="6887" width="9.1796875" style="7"/>
    <col min="6888" max="6888" width="3.54296875" style="7" customWidth="1"/>
    <col min="6889" max="6889" width="9.1796875" style="7"/>
    <col min="6890" max="6890" width="11" style="7" bestFit="1" customWidth="1"/>
    <col min="6891" max="6891" width="10.26953125" style="7" customWidth="1"/>
    <col min="6892" max="6892" width="9.81640625" style="7" customWidth="1"/>
    <col min="6893" max="6893" width="9.1796875" style="7"/>
    <col min="6894" max="6894" width="2.26953125" style="7" customWidth="1"/>
    <col min="6895" max="6895" width="10.81640625" style="7" customWidth="1"/>
    <col min="6896" max="6896" width="13" style="7" customWidth="1"/>
    <col min="6897" max="7113" width="9.1796875" style="7"/>
    <col min="7114" max="7114" width="41.81640625" style="7" customWidth="1"/>
    <col min="7115" max="7130" width="0" style="7" hidden="1" customWidth="1"/>
    <col min="7131" max="7131" width="12.54296875" style="7" customWidth="1"/>
    <col min="7132" max="7132" width="15.26953125" style="7" customWidth="1"/>
    <col min="7133" max="7133" width="13.1796875" style="7" customWidth="1"/>
    <col min="7134" max="7134" width="3.54296875" style="7" customWidth="1"/>
    <col min="7135" max="7135" width="13.1796875" style="7" customWidth="1"/>
    <col min="7136" max="7136" width="12.81640625" style="7" customWidth="1"/>
    <col min="7137" max="7138" width="12.453125" style="7" customWidth="1"/>
    <col min="7139" max="7139" width="8.7265625" style="7" customWidth="1"/>
    <col min="7140" max="7140" width="12.26953125" style="7" customWidth="1"/>
    <col min="7141" max="7141" width="10.54296875" style="7" customWidth="1"/>
    <col min="7142" max="7142" width="12.1796875" style="7" customWidth="1"/>
    <col min="7143" max="7143" width="9.1796875" style="7"/>
    <col min="7144" max="7144" width="3.54296875" style="7" customWidth="1"/>
    <col min="7145" max="7145" width="9.1796875" style="7"/>
    <col min="7146" max="7146" width="11" style="7" bestFit="1" customWidth="1"/>
    <col min="7147" max="7147" width="10.26953125" style="7" customWidth="1"/>
    <col min="7148" max="7148" width="9.81640625" style="7" customWidth="1"/>
    <col min="7149" max="7149" width="9.1796875" style="7"/>
    <col min="7150" max="7150" width="2.26953125" style="7" customWidth="1"/>
    <col min="7151" max="7151" width="10.81640625" style="7" customWidth="1"/>
    <col min="7152" max="7152" width="13" style="7" customWidth="1"/>
    <col min="7153" max="7369" width="9.1796875" style="7"/>
    <col min="7370" max="7370" width="41.81640625" style="7" customWidth="1"/>
    <col min="7371" max="7386" width="0" style="7" hidden="1" customWidth="1"/>
    <col min="7387" max="7387" width="12.54296875" style="7" customWidth="1"/>
    <col min="7388" max="7388" width="15.26953125" style="7" customWidth="1"/>
    <col min="7389" max="7389" width="13.1796875" style="7" customWidth="1"/>
    <col min="7390" max="7390" width="3.54296875" style="7" customWidth="1"/>
    <col min="7391" max="7391" width="13.1796875" style="7" customWidth="1"/>
    <col min="7392" max="7392" width="12.81640625" style="7" customWidth="1"/>
    <col min="7393" max="7394" width="12.453125" style="7" customWidth="1"/>
    <col min="7395" max="7395" width="8.7265625" style="7" customWidth="1"/>
    <col min="7396" max="7396" width="12.26953125" style="7" customWidth="1"/>
    <col min="7397" max="7397" width="10.54296875" style="7" customWidth="1"/>
    <col min="7398" max="7398" width="12.1796875" style="7" customWidth="1"/>
    <col min="7399" max="7399" width="9.1796875" style="7"/>
    <col min="7400" max="7400" width="3.54296875" style="7" customWidth="1"/>
    <col min="7401" max="7401" width="9.1796875" style="7"/>
    <col min="7402" max="7402" width="11" style="7" bestFit="1" customWidth="1"/>
    <col min="7403" max="7403" width="10.26953125" style="7" customWidth="1"/>
    <col min="7404" max="7404" width="9.81640625" style="7" customWidth="1"/>
    <col min="7405" max="7405" width="9.1796875" style="7"/>
    <col min="7406" max="7406" width="2.26953125" style="7" customWidth="1"/>
    <col min="7407" max="7407" width="10.81640625" style="7" customWidth="1"/>
    <col min="7408" max="7408" width="13" style="7" customWidth="1"/>
    <col min="7409" max="7625" width="9.1796875" style="7"/>
    <col min="7626" max="7626" width="41.81640625" style="7" customWidth="1"/>
    <col min="7627" max="7642" width="0" style="7" hidden="1" customWidth="1"/>
    <col min="7643" max="7643" width="12.54296875" style="7" customWidth="1"/>
    <col min="7644" max="7644" width="15.26953125" style="7" customWidth="1"/>
    <col min="7645" max="7645" width="13.1796875" style="7" customWidth="1"/>
    <col min="7646" max="7646" width="3.54296875" style="7" customWidth="1"/>
    <col min="7647" max="7647" width="13.1796875" style="7" customWidth="1"/>
    <col min="7648" max="7648" width="12.81640625" style="7" customWidth="1"/>
    <col min="7649" max="7650" width="12.453125" style="7" customWidth="1"/>
    <col min="7651" max="7651" width="8.7265625" style="7" customWidth="1"/>
    <col min="7652" max="7652" width="12.26953125" style="7" customWidth="1"/>
    <col min="7653" max="7653" width="10.54296875" style="7" customWidth="1"/>
    <col min="7654" max="7654" width="12.1796875" style="7" customWidth="1"/>
    <col min="7655" max="7655" width="9.1796875" style="7"/>
    <col min="7656" max="7656" width="3.54296875" style="7" customWidth="1"/>
    <col min="7657" max="7657" width="9.1796875" style="7"/>
    <col min="7658" max="7658" width="11" style="7" bestFit="1" customWidth="1"/>
    <col min="7659" max="7659" width="10.26953125" style="7" customWidth="1"/>
    <col min="7660" max="7660" width="9.81640625" style="7" customWidth="1"/>
    <col min="7661" max="7661" width="9.1796875" style="7"/>
    <col min="7662" max="7662" width="2.26953125" style="7" customWidth="1"/>
    <col min="7663" max="7663" width="10.81640625" style="7" customWidth="1"/>
    <col min="7664" max="7664" width="13" style="7" customWidth="1"/>
    <col min="7665" max="7881" width="9.1796875" style="7"/>
    <col min="7882" max="7882" width="41.81640625" style="7" customWidth="1"/>
    <col min="7883" max="7898" width="0" style="7" hidden="1" customWidth="1"/>
    <col min="7899" max="7899" width="12.54296875" style="7" customWidth="1"/>
    <col min="7900" max="7900" width="15.26953125" style="7" customWidth="1"/>
    <col min="7901" max="7901" width="13.1796875" style="7" customWidth="1"/>
    <col min="7902" max="7902" width="3.54296875" style="7" customWidth="1"/>
    <col min="7903" max="7903" width="13.1796875" style="7" customWidth="1"/>
    <col min="7904" max="7904" width="12.81640625" style="7" customWidth="1"/>
    <col min="7905" max="7906" width="12.453125" style="7" customWidth="1"/>
    <col min="7907" max="7907" width="8.7265625" style="7" customWidth="1"/>
    <col min="7908" max="7908" width="12.26953125" style="7" customWidth="1"/>
    <col min="7909" max="7909" width="10.54296875" style="7" customWidth="1"/>
    <col min="7910" max="7910" width="12.1796875" style="7" customWidth="1"/>
    <col min="7911" max="7911" width="9.1796875" style="7"/>
    <col min="7912" max="7912" width="3.54296875" style="7" customWidth="1"/>
    <col min="7913" max="7913" width="9.1796875" style="7"/>
    <col min="7914" max="7914" width="11" style="7" bestFit="1" customWidth="1"/>
    <col min="7915" max="7915" width="10.26953125" style="7" customWidth="1"/>
    <col min="7916" max="7916" width="9.81640625" style="7" customWidth="1"/>
    <col min="7917" max="7917" width="9.1796875" style="7"/>
    <col min="7918" max="7918" width="2.26953125" style="7" customWidth="1"/>
    <col min="7919" max="7919" width="10.81640625" style="7" customWidth="1"/>
    <col min="7920" max="7920" width="13" style="7" customWidth="1"/>
    <col min="7921" max="8137" width="9.1796875" style="7"/>
    <col min="8138" max="8138" width="41.81640625" style="7" customWidth="1"/>
    <col min="8139" max="8154" width="0" style="7" hidden="1" customWidth="1"/>
    <col min="8155" max="8155" width="12.54296875" style="7" customWidth="1"/>
    <col min="8156" max="8156" width="15.26953125" style="7" customWidth="1"/>
    <col min="8157" max="8157" width="13.1796875" style="7" customWidth="1"/>
    <col min="8158" max="8158" width="3.54296875" style="7" customWidth="1"/>
    <col min="8159" max="8159" width="13.1796875" style="7" customWidth="1"/>
    <col min="8160" max="8160" width="12.81640625" style="7" customWidth="1"/>
    <col min="8161" max="8162" width="12.453125" style="7" customWidth="1"/>
    <col min="8163" max="8163" width="8.7265625" style="7" customWidth="1"/>
    <col min="8164" max="8164" width="12.26953125" style="7" customWidth="1"/>
    <col min="8165" max="8165" width="10.54296875" style="7" customWidth="1"/>
    <col min="8166" max="8166" width="12.1796875" style="7" customWidth="1"/>
    <col min="8167" max="8167" width="9.1796875" style="7"/>
    <col min="8168" max="8168" width="3.54296875" style="7" customWidth="1"/>
    <col min="8169" max="8169" width="9.1796875" style="7"/>
    <col min="8170" max="8170" width="11" style="7" bestFit="1" customWidth="1"/>
    <col min="8171" max="8171" width="10.26953125" style="7" customWidth="1"/>
    <col min="8172" max="8172" width="9.81640625" style="7" customWidth="1"/>
    <col min="8173" max="8173" width="9.1796875" style="7"/>
    <col min="8174" max="8174" width="2.26953125" style="7" customWidth="1"/>
    <col min="8175" max="8175" width="10.81640625" style="7" customWidth="1"/>
    <col min="8176" max="8176" width="13" style="7" customWidth="1"/>
    <col min="8177" max="8393" width="9.1796875" style="7"/>
    <col min="8394" max="8394" width="41.81640625" style="7" customWidth="1"/>
    <col min="8395" max="8410" width="0" style="7" hidden="1" customWidth="1"/>
    <col min="8411" max="8411" width="12.54296875" style="7" customWidth="1"/>
    <col min="8412" max="8412" width="15.26953125" style="7" customWidth="1"/>
    <col min="8413" max="8413" width="13.1796875" style="7" customWidth="1"/>
    <col min="8414" max="8414" width="3.54296875" style="7" customWidth="1"/>
    <col min="8415" max="8415" width="13.1796875" style="7" customWidth="1"/>
    <col min="8416" max="8416" width="12.81640625" style="7" customWidth="1"/>
    <col min="8417" max="8418" width="12.453125" style="7" customWidth="1"/>
    <col min="8419" max="8419" width="8.7265625" style="7" customWidth="1"/>
    <col min="8420" max="8420" width="12.26953125" style="7" customWidth="1"/>
    <col min="8421" max="8421" width="10.54296875" style="7" customWidth="1"/>
    <col min="8422" max="8422" width="12.1796875" style="7" customWidth="1"/>
    <col min="8423" max="8423" width="9.1796875" style="7"/>
    <col min="8424" max="8424" width="3.54296875" style="7" customWidth="1"/>
    <col min="8425" max="8425" width="9.1796875" style="7"/>
    <col min="8426" max="8426" width="11" style="7" bestFit="1" customWidth="1"/>
    <col min="8427" max="8427" width="10.26953125" style="7" customWidth="1"/>
    <col min="8428" max="8428" width="9.81640625" style="7" customWidth="1"/>
    <col min="8429" max="8429" width="9.1796875" style="7"/>
    <col min="8430" max="8430" width="2.26953125" style="7" customWidth="1"/>
    <col min="8431" max="8431" width="10.81640625" style="7" customWidth="1"/>
    <col min="8432" max="8432" width="13" style="7" customWidth="1"/>
    <col min="8433" max="8649" width="9.1796875" style="7"/>
    <col min="8650" max="8650" width="41.81640625" style="7" customWidth="1"/>
    <col min="8651" max="8666" width="0" style="7" hidden="1" customWidth="1"/>
    <col min="8667" max="8667" width="12.54296875" style="7" customWidth="1"/>
    <col min="8668" max="8668" width="15.26953125" style="7" customWidth="1"/>
    <col min="8669" max="8669" width="13.1796875" style="7" customWidth="1"/>
    <col min="8670" max="8670" width="3.54296875" style="7" customWidth="1"/>
    <col min="8671" max="8671" width="13.1796875" style="7" customWidth="1"/>
    <col min="8672" max="8672" width="12.81640625" style="7" customWidth="1"/>
    <col min="8673" max="8674" width="12.453125" style="7" customWidth="1"/>
    <col min="8675" max="8675" width="8.7265625" style="7" customWidth="1"/>
    <col min="8676" max="8676" width="12.26953125" style="7" customWidth="1"/>
    <col min="8677" max="8677" width="10.54296875" style="7" customWidth="1"/>
    <col min="8678" max="8678" width="12.1796875" style="7" customWidth="1"/>
    <col min="8679" max="8679" width="9.1796875" style="7"/>
    <col min="8680" max="8680" width="3.54296875" style="7" customWidth="1"/>
    <col min="8681" max="8681" width="9.1796875" style="7"/>
    <col min="8682" max="8682" width="11" style="7" bestFit="1" customWidth="1"/>
    <col min="8683" max="8683" width="10.26953125" style="7" customWidth="1"/>
    <col min="8684" max="8684" width="9.81640625" style="7" customWidth="1"/>
    <col min="8685" max="8685" width="9.1796875" style="7"/>
    <col min="8686" max="8686" width="2.26953125" style="7" customWidth="1"/>
    <col min="8687" max="8687" width="10.81640625" style="7" customWidth="1"/>
    <col min="8688" max="8688" width="13" style="7" customWidth="1"/>
    <col min="8689" max="8905" width="9.1796875" style="7"/>
    <col min="8906" max="8906" width="41.81640625" style="7" customWidth="1"/>
    <col min="8907" max="8922" width="0" style="7" hidden="1" customWidth="1"/>
    <col min="8923" max="8923" width="12.54296875" style="7" customWidth="1"/>
    <col min="8924" max="8924" width="15.26953125" style="7" customWidth="1"/>
    <col min="8925" max="8925" width="13.1796875" style="7" customWidth="1"/>
    <col min="8926" max="8926" width="3.54296875" style="7" customWidth="1"/>
    <col min="8927" max="8927" width="13.1796875" style="7" customWidth="1"/>
    <col min="8928" max="8928" width="12.81640625" style="7" customWidth="1"/>
    <col min="8929" max="8930" width="12.453125" style="7" customWidth="1"/>
    <col min="8931" max="8931" width="8.7265625" style="7" customWidth="1"/>
    <col min="8932" max="8932" width="12.26953125" style="7" customWidth="1"/>
    <col min="8933" max="8933" width="10.54296875" style="7" customWidth="1"/>
    <col min="8934" max="8934" width="12.1796875" style="7" customWidth="1"/>
    <col min="8935" max="8935" width="9.1796875" style="7"/>
    <col min="8936" max="8936" width="3.54296875" style="7" customWidth="1"/>
    <col min="8937" max="8937" width="9.1796875" style="7"/>
    <col min="8938" max="8938" width="11" style="7" bestFit="1" customWidth="1"/>
    <col min="8939" max="8939" width="10.26953125" style="7" customWidth="1"/>
    <col min="8940" max="8940" width="9.81640625" style="7" customWidth="1"/>
    <col min="8941" max="8941" width="9.1796875" style="7"/>
    <col min="8942" max="8942" width="2.26953125" style="7" customWidth="1"/>
    <col min="8943" max="8943" width="10.81640625" style="7" customWidth="1"/>
    <col min="8944" max="8944" width="13" style="7" customWidth="1"/>
    <col min="8945" max="9161" width="9.1796875" style="7"/>
    <col min="9162" max="9162" width="41.81640625" style="7" customWidth="1"/>
    <col min="9163" max="9178" width="0" style="7" hidden="1" customWidth="1"/>
    <col min="9179" max="9179" width="12.54296875" style="7" customWidth="1"/>
    <col min="9180" max="9180" width="15.26953125" style="7" customWidth="1"/>
    <col min="9181" max="9181" width="13.1796875" style="7" customWidth="1"/>
    <col min="9182" max="9182" width="3.54296875" style="7" customWidth="1"/>
    <col min="9183" max="9183" width="13.1796875" style="7" customWidth="1"/>
    <col min="9184" max="9184" width="12.81640625" style="7" customWidth="1"/>
    <col min="9185" max="9186" width="12.453125" style="7" customWidth="1"/>
    <col min="9187" max="9187" width="8.7265625" style="7" customWidth="1"/>
    <col min="9188" max="9188" width="12.26953125" style="7" customWidth="1"/>
    <col min="9189" max="9189" width="10.54296875" style="7" customWidth="1"/>
    <col min="9190" max="9190" width="12.1796875" style="7" customWidth="1"/>
    <col min="9191" max="9191" width="9.1796875" style="7"/>
    <col min="9192" max="9192" width="3.54296875" style="7" customWidth="1"/>
    <col min="9193" max="9193" width="9.1796875" style="7"/>
    <col min="9194" max="9194" width="11" style="7" bestFit="1" customWidth="1"/>
    <col min="9195" max="9195" width="10.26953125" style="7" customWidth="1"/>
    <col min="9196" max="9196" width="9.81640625" style="7" customWidth="1"/>
    <col min="9197" max="9197" width="9.1796875" style="7"/>
    <col min="9198" max="9198" width="2.26953125" style="7" customWidth="1"/>
    <col min="9199" max="9199" width="10.81640625" style="7" customWidth="1"/>
    <col min="9200" max="9200" width="13" style="7" customWidth="1"/>
    <col min="9201" max="9417" width="9.1796875" style="7"/>
    <col min="9418" max="9418" width="41.81640625" style="7" customWidth="1"/>
    <col min="9419" max="9434" width="0" style="7" hidden="1" customWidth="1"/>
    <col min="9435" max="9435" width="12.54296875" style="7" customWidth="1"/>
    <col min="9436" max="9436" width="15.26953125" style="7" customWidth="1"/>
    <col min="9437" max="9437" width="13.1796875" style="7" customWidth="1"/>
    <col min="9438" max="9438" width="3.54296875" style="7" customWidth="1"/>
    <col min="9439" max="9439" width="13.1796875" style="7" customWidth="1"/>
    <col min="9440" max="9440" width="12.81640625" style="7" customWidth="1"/>
    <col min="9441" max="9442" width="12.453125" style="7" customWidth="1"/>
    <col min="9443" max="9443" width="8.7265625" style="7" customWidth="1"/>
    <col min="9444" max="9444" width="12.26953125" style="7" customWidth="1"/>
    <col min="9445" max="9445" width="10.54296875" style="7" customWidth="1"/>
    <col min="9446" max="9446" width="12.1796875" style="7" customWidth="1"/>
    <col min="9447" max="9447" width="9.1796875" style="7"/>
    <col min="9448" max="9448" width="3.54296875" style="7" customWidth="1"/>
    <col min="9449" max="9449" width="9.1796875" style="7"/>
    <col min="9450" max="9450" width="11" style="7" bestFit="1" customWidth="1"/>
    <col min="9451" max="9451" width="10.26953125" style="7" customWidth="1"/>
    <col min="9452" max="9452" width="9.81640625" style="7" customWidth="1"/>
    <col min="9453" max="9453" width="9.1796875" style="7"/>
    <col min="9454" max="9454" width="2.26953125" style="7" customWidth="1"/>
    <col min="9455" max="9455" width="10.81640625" style="7" customWidth="1"/>
    <col min="9456" max="9456" width="13" style="7" customWidth="1"/>
    <col min="9457" max="9673" width="9.1796875" style="7"/>
    <col min="9674" max="9674" width="41.81640625" style="7" customWidth="1"/>
    <col min="9675" max="9690" width="0" style="7" hidden="1" customWidth="1"/>
    <col min="9691" max="9691" width="12.54296875" style="7" customWidth="1"/>
    <col min="9692" max="9692" width="15.26953125" style="7" customWidth="1"/>
    <col min="9693" max="9693" width="13.1796875" style="7" customWidth="1"/>
    <col min="9694" max="9694" width="3.54296875" style="7" customWidth="1"/>
    <col min="9695" max="9695" width="13.1796875" style="7" customWidth="1"/>
    <col min="9696" max="9696" width="12.81640625" style="7" customWidth="1"/>
    <col min="9697" max="9698" width="12.453125" style="7" customWidth="1"/>
    <col min="9699" max="9699" width="8.7265625" style="7" customWidth="1"/>
    <col min="9700" max="9700" width="12.26953125" style="7" customWidth="1"/>
    <col min="9701" max="9701" width="10.54296875" style="7" customWidth="1"/>
    <col min="9702" max="9702" width="12.1796875" style="7" customWidth="1"/>
    <col min="9703" max="9703" width="9.1796875" style="7"/>
    <col min="9704" max="9704" width="3.54296875" style="7" customWidth="1"/>
    <col min="9705" max="9705" width="9.1796875" style="7"/>
    <col min="9706" max="9706" width="11" style="7" bestFit="1" customWidth="1"/>
    <col min="9707" max="9707" width="10.26953125" style="7" customWidth="1"/>
    <col min="9708" max="9708" width="9.81640625" style="7" customWidth="1"/>
    <col min="9709" max="9709" width="9.1796875" style="7"/>
    <col min="9710" max="9710" width="2.26953125" style="7" customWidth="1"/>
    <col min="9711" max="9711" width="10.81640625" style="7" customWidth="1"/>
    <col min="9712" max="9712" width="13" style="7" customWidth="1"/>
    <col min="9713" max="9929" width="9.1796875" style="7"/>
    <col min="9930" max="9930" width="41.81640625" style="7" customWidth="1"/>
    <col min="9931" max="9946" width="0" style="7" hidden="1" customWidth="1"/>
    <col min="9947" max="9947" width="12.54296875" style="7" customWidth="1"/>
    <col min="9948" max="9948" width="15.26953125" style="7" customWidth="1"/>
    <col min="9949" max="9949" width="13.1796875" style="7" customWidth="1"/>
    <col min="9950" max="9950" width="3.54296875" style="7" customWidth="1"/>
    <col min="9951" max="9951" width="13.1796875" style="7" customWidth="1"/>
    <col min="9952" max="9952" width="12.81640625" style="7" customWidth="1"/>
    <col min="9953" max="9954" width="12.453125" style="7" customWidth="1"/>
    <col min="9955" max="9955" width="8.7265625" style="7" customWidth="1"/>
    <col min="9956" max="9956" width="12.26953125" style="7" customWidth="1"/>
    <col min="9957" max="9957" width="10.54296875" style="7" customWidth="1"/>
    <col min="9958" max="9958" width="12.1796875" style="7" customWidth="1"/>
    <col min="9959" max="9959" width="9.1796875" style="7"/>
    <col min="9960" max="9960" width="3.54296875" style="7" customWidth="1"/>
    <col min="9961" max="9961" width="9.1796875" style="7"/>
    <col min="9962" max="9962" width="11" style="7" bestFit="1" customWidth="1"/>
    <col min="9963" max="9963" width="10.26953125" style="7" customWidth="1"/>
    <col min="9964" max="9964" width="9.81640625" style="7" customWidth="1"/>
    <col min="9965" max="9965" width="9.1796875" style="7"/>
    <col min="9966" max="9966" width="2.26953125" style="7" customWidth="1"/>
    <col min="9967" max="9967" width="10.81640625" style="7" customWidth="1"/>
    <col min="9968" max="9968" width="13" style="7" customWidth="1"/>
    <col min="9969" max="10185" width="9.1796875" style="7"/>
    <col min="10186" max="10186" width="41.81640625" style="7" customWidth="1"/>
    <col min="10187" max="10202" width="0" style="7" hidden="1" customWidth="1"/>
    <col min="10203" max="10203" width="12.54296875" style="7" customWidth="1"/>
    <col min="10204" max="10204" width="15.26953125" style="7" customWidth="1"/>
    <col min="10205" max="10205" width="13.1796875" style="7" customWidth="1"/>
    <col min="10206" max="10206" width="3.54296875" style="7" customWidth="1"/>
    <col min="10207" max="10207" width="13.1796875" style="7" customWidth="1"/>
    <col min="10208" max="10208" width="12.81640625" style="7" customWidth="1"/>
    <col min="10209" max="10210" width="12.453125" style="7" customWidth="1"/>
    <col min="10211" max="10211" width="8.7265625" style="7" customWidth="1"/>
    <col min="10212" max="10212" width="12.26953125" style="7" customWidth="1"/>
    <col min="10213" max="10213" width="10.54296875" style="7" customWidth="1"/>
    <col min="10214" max="10214" width="12.1796875" style="7" customWidth="1"/>
    <col min="10215" max="10215" width="9.1796875" style="7"/>
    <col min="10216" max="10216" width="3.54296875" style="7" customWidth="1"/>
    <col min="10217" max="10217" width="9.1796875" style="7"/>
    <col min="10218" max="10218" width="11" style="7" bestFit="1" customWidth="1"/>
    <col min="10219" max="10219" width="10.26953125" style="7" customWidth="1"/>
    <col min="10220" max="10220" width="9.81640625" style="7" customWidth="1"/>
    <col min="10221" max="10221" width="9.1796875" style="7"/>
    <col min="10222" max="10222" width="2.26953125" style="7" customWidth="1"/>
    <col min="10223" max="10223" width="10.81640625" style="7" customWidth="1"/>
    <col min="10224" max="10224" width="13" style="7" customWidth="1"/>
    <col min="10225" max="10441" width="9.1796875" style="7"/>
    <col min="10442" max="10442" width="41.81640625" style="7" customWidth="1"/>
    <col min="10443" max="10458" width="0" style="7" hidden="1" customWidth="1"/>
    <col min="10459" max="10459" width="12.54296875" style="7" customWidth="1"/>
    <col min="10460" max="10460" width="15.26953125" style="7" customWidth="1"/>
    <col min="10461" max="10461" width="13.1796875" style="7" customWidth="1"/>
    <col min="10462" max="10462" width="3.54296875" style="7" customWidth="1"/>
    <col min="10463" max="10463" width="13.1796875" style="7" customWidth="1"/>
    <col min="10464" max="10464" width="12.81640625" style="7" customWidth="1"/>
    <col min="10465" max="10466" width="12.453125" style="7" customWidth="1"/>
    <col min="10467" max="10467" width="8.7265625" style="7" customWidth="1"/>
    <col min="10468" max="10468" width="12.26953125" style="7" customWidth="1"/>
    <col min="10469" max="10469" width="10.54296875" style="7" customWidth="1"/>
    <col min="10470" max="10470" width="12.1796875" style="7" customWidth="1"/>
    <col min="10471" max="10471" width="9.1796875" style="7"/>
    <col min="10472" max="10472" width="3.54296875" style="7" customWidth="1"/>
    <col min="10473" max="10473" width="9.1796875" style="7"/>
    <col min="10474" max="10474" width="11" style="7" bestFit="1" customWidth="1"/>
    <col min="10475" max="10475" width="10.26953125" style="7" customWidth="1"/>
    <col min="10476" max="10476" width="9.81640625" style="7" customWidth="1"/>
    <col min="10477" max="10477" width="9.1796875" style="7"/>
    <col min="10478" max="10478" width="2.26953125" style="7" customWidth="1"/>
    <col min="10479" max="10479" width="10.81640625" style="7" customWidth="1"/>
    <col min="10480" max="10480" width="13" style="7" customWidth="1"/>
    <col min="10481" max="10697" width="9.1796875" style="7"/>
    <col min="10698" max="10698" width="41.81640625" style="7" customWidth="1"/>
    <col min="10699" max="10714" width="0" style="7" hidden="1" customWidth="1"/>
    <col min="10715" max="10715" width="12.54296875" style="7" customWidth="1"/>
    <col min="10716" max="10716" width="15.26953125" style="7" customWidth="1"/>
    <col min="10717" max="10717" width="13.1796875" style="7" customWidth="1"/>
    <col min="10718" max="10718" width="3.54296875" style="7" customWidth="1"/>
    <col min="10719" max="10719" width="13.1796875" style="7" customWidth="1"/>
    <col min="10720" max="10720" width="12.81640625" style="7" customWidth="1"/>
    <col min="10721" max="10722" width="12.453125" style="7" customWidth="1"/>
    <col min="10723" max="10723" width="8.7265625" style="7" customWidth="1"/>
    <col min="10724" max="10724" width="12.26953125" style="7" customWidth="1"/>
    <col min="10725" max="10725" width="10.54296875" style="7" customWidth="1"/>
    <col min="10726" max="10726" width="12.1796875" style="7" customWidth="1"/>
    <col min="10727" max="10727" width="9.1796875" style="7"/>
    <col min="10728" max="10728" width="3.54296875" style="7" customWidth="1"/>
    <col min="10729" max="10729" width="9.1796875" style="7"/>
    <col min="10730" max="10730" width="11" style="7" bestFit="1" customWidth="1"/>
    <col min="10731" max="10731" width="10.26953125" style="7" customWidth="1"/>
    <col min="10732" max="10732" width="9.81640625" style="7" customWidth="1"/>
    <col min="10733" max="10733" width="9.1796875" style="7"/>
    <col min="10734" max="10734" width="2.26953125" style="7" customWidth="1"/>
    <col min="10735" max="10735" width="10.81640625" style="7" customWidth="1"/>
    <col min="10736" max="10736" width="13" style="7" customWidth="1"/>
    <col min="10737" max="10953" width="9.1796875" style="7"/>
    <col min="10954" max="10954" width="41.81640625" style="7" customWidth="1"/>
    <col min="10955" max="10970" width="0" style="7" hidden="1" customWidth="1"/>
    <col min="10971" max="10971" width="12.54296875" style="7" customWidth="1"/>
    <col min="10972" max="10972" width="15.26953125" style="7" customWidth="1"/>
    <col min="10973" max="10973" width="13.1796875" style="7" customWidth="1"/>
    <col min="10974" max="10974" width="3.54296875" style="7" customWidth="1"/>
    <col min="10975" max="10975" width="13.1796875" style="7" customWidth="1"/>
    <col min="10976" max="10976" width="12.81640625" style="7" customWidth="1"/>
    <col min="10977" max="10978" width="12.453125" style="7" customWidth="1"/>
    <col min="10979" max="10979" width="8.7265625" style="7" customWidth="1"/>
    <col min="10980" max="10980" width="12.26953125" style="7" customWidth="1"/>
    <col min="10981" max="10981" width="10.54296875" style="7" customWidth="1"/>
    <col min="10982" max="10982" width="12.1796875" style="7" customWidth="1"/>
    <col min="10983" max="10983" width="9.1796875" style="7"/>
    <col min="10984" max="10984" width="3.54296875" style="7" customWidth="1"/>
    <col min="10985" max="10985" width="9.1796875" style="7"/>
    <col min="10986" max="10986" width="11" style="7" bestFit="1" customWidth="1"/>
    <col min="10987" max="10987" width="10.26953125" style="7" customWidth="1"/>
    <col min="10988" max="10988" width="9.81640625" style="7" customWidth="1"/>
    <col min="10989" max="10989" width="9.1796875" style="7"/>
    <col min="10990" max="10990" width="2.26953125" style="7" customWidth="1"/>
    <col min="10991" max="10991" width="10.81640625" style="7" customWidth="1"/>
    <col min="10992" max="10992" width="13" style="7" customWidth="1"/>
    <col min="10993" max="11209" width="9.1796875" style="7"/>
    <col min="11210" max="11210" width="41.81640625" style="7" customWidth="1"/>
    <col min="11211" max="11226" width="0" style="7" hidden="1" customWidth="1"/>
    <col min="11227" max="11227" width="12.54296875" style="7" customWidth="1"/>
    <col min="11228" max="11228" width="15.26953125" style="7" customWidth="1"/>
    <col min="11229" max="11229" width="13.1796875" style="7" customWidth="1"/>
    <col min="11230" max="11230" width="3.54296875" style="7" customWidth="1"/>
    <col min="11231" max="11231" width="13.1796875" style="7" customWidth="1"/>
    <col min="11232" max="11232" width="12.81640625" style="7" customWidth="1"/>
    <col min="11233" max="11234" width="12.453125" style="7" customWidth="1"/>
    <col min="11235" max="11235" width="8.7265625" style="7" customWidth="1"/>
    <col min="11236" max="11236" width="12.26953125" style="7" customWidth="1"/>
    <col min="11237" max="11237" width="10.54296875" style="7" customWidth="1"/>
    <col min="11238" max="11238" width="12.1796875" style="7" customWidth="1"/>
    <col min="11239" max="11239" width="9.1796875" style="7"/>
    <col min="11240" max="11240" width="3.54296875" style="7" customWidth="1"/>
    <col min="11241" max="11241" width="9.1796875" style="7"/>
    <col min="11242" max="11242" width="11" style="7" bestFit="1" customWidth="1"/>
    <col min="11243" max="11243" width="10.26953125" style="7" customWidth="1"/>
    <col min="11244" max="11244" width="9.81640625" style="7" customWidth="1"/>
    <col min="11245" max="11245" width="9.1796875" style="7"/>
    <col min="11246" max="11246" width="2.26953125" style="7" customWidth="1"/>
    <col min="11247" max="11247" width="10.81640625" style="7" customWidth="1"/>
    <col min="11248" max="11248" width="13" style="7" customWidth="1"/>
    <col min="11249" max="11465" width="9.1796875" style="7"/>
    <col min="11466" max="11466" width="41.81640625" style="7" customWidth="1"/>
    <col min="11467" max="11482" width="0" style="7" hidden="1" customWidth="1"/>
    <col min="11483" max="11483" width="12.54296875" style="7" customWidth="1"/>
    <col min="11484" max="11484" width="15.26953125" style="7" customWidth="1"/>
    <col min="11485" max="11485" width="13.1796875" style="7" customWidth="1"/>
    <col min="11486" max="11486" width="3.54296875" style="7" customWidth="1"/>
    <col min="11487" max="11487" width="13.1796875" style="7" customWidth="1"/>
    <col min="11488" max="11488" width="12.81640625" style="7" customWidth="1"/>
    <col min="11489" max="11490" width="12.453125" style="7" customWidth="1"/>
    <col min="11491" max="11491" width="8.7265625" style="7" customWidth="1"/>
    <col min="11492" max="11492" width="12.26953125" style="7" customWidth="1"/>
    <col min="11493" max="11493" width="10.54296875" style="7" customWidth="1"/>
    <col min="11494" max="11494" width="12.1796875" style="7" customWidth="1"/>
    <col min="11495" max="11495" width="9.1796875" style="7"/>
    <col min="11496" max="11496" width="3.54296875" style="7" customWidth="1"/>
    <col min="11497" max="11497" width="9.1796875" style="7"/>
    <col min="11498" max="11498" width="11" style="7" bestFit="1" customWidth="1"/>
    <col min="11499" max="11499" width="10.26953125" style="7" customWidth="1"/>
    <col min="11500" max="11500" width="9.81640625" style="7" customWidth="1"/>
    <col min="11501" max="11501" width="9.1796875" style="7"/>
    <col min="11502" max="11502" width="2.26953125" style="7" customWidth="1"/>
    <col min="11503" max="11503" width="10.81640625" style="7" customWidth="1"/>
    <col min="11504" max="11504" width="13" style="7" customWidth="1"/>
    <col min="11505" max="11721" width="9.1796875" style="7"/>
    <col min="11722" max="11722" width="41.81640625" style="7" customWidth="1"/>
    <col min="11723" max="11738" width="0" style="7" hidden="1" customWidth="1"/>
    <col min="11739" max="11739" width="12.54296875" style="7" customWidth="1"/>
    <col min="11740" max="11740" width="15.26953125" style="7" customWidth="1"/>
    <col min="11741" max="11741" width="13.1796875" style="7" customWidth="1"/>
    <col min="11742" max="11742" width="3.54296875" style="7" customWidth="1"/>
    <col min="11743" max="11743" width="13.1796875" style="7" customWidth="1"/>
    <col min="11744" max="11744" width="12.81640625" style="7" customWidth="1"/>
    <col min="11745" max="11746" width="12.453125" style="7" customWidth="1"/>
    <col min="11747" max="11747" width="8.7265625" style="7" customWidth="1"/>
    <col min="11748" max="11748" width="12.26953125" style="7" customWidth="1"/>
    <col min="11749" max="11749" width="10.54296875" style="7" customWidth="1"/>
    <col min="11750" max="11750" width="12.1796875" style="7" customWidth="1"/>
    <col min="11751" max="11751" width="9.1796875" style="7"/>
    <col min="11752" max="11752" width="3.54296875" style="7" customWidth="1"/>
    <col min="11753" max="11753" width="9.1796875" style="7"/>
    <col min="11754" max="11754" width="11" style="7" bestFit="1" customWidth="1"/>
    <col min="11755" max="11755" width="10.26953125" style="7" customWidth="1"/>
    <col min="11756" max="11756" width="9.81640625" style="7" customWidth="1"/>
    <col min="11757" max="11757" width="9.1796875" style="7"/>
    <col min="11758" max="11758" width="2.26953125" style="7" customWidth="1"/>
    <col min="11759" max="11759" width="10.81640625" style="7" customWidth="1"/>
    <col min="11760" max="11760" width="13" style="7" customWidth="1"/>
    <col min="11761" max="11977" width="9.1796875" style="7"/>
    <col min="11978" max="11978" width="41.81640625" style="7" customWidth="1"/>
    <col min="11979" max="11994" width="0" style="7" hidden="1" customWidth="1"/>
    <col min="11995" max="11995" width="12.54296875" style="7" customWidth="1"/>
    <col min="11996" max="11996" width="15.26953125" style="7" customWidth="1"/>
    <col min="11997" max="11997" width="13.1796875" style="7" customWidth="1"/>
    <col min="11998" max="11998" width="3.54296875" style="7" customWidth="1"/>
    <col min="11999" max="11999" width="13.1796875" style="7" customWidth="1"/>
    <col min="12000" max="12000" width="12.81640625" style="7" customWidth="1"/>
    <col min="12001" max="12002" width="12.453125" style="7" customWidth="1"/>
    <col min="12003" max="12003" width="8.7265625" style="7" customWidth="1"/>
    <col min="12004" max="12004" width="12.26953125" style="7" customWidth="1"/>
    <col min="12005" max="12005" width="10.54296875" style="7" customWidth="1"/>
    <col min="12006" max="12006" width="12.1796875" style="7" customWidth="1"/>
    <col min="12007" max="12007" width="9.1796875" style="7"/>
    <col min="12008" max="12008" width="3.54296875" style="7" customWidth="1"/>
    <col min="12009" max="12009" width="9.1796875" style="7"/>
    <col min="12010" max="12010" width="11" style="7" bestFit="1" customWidth="1"/>
    <col min="12011" max="12011" width="10.26953125" style="7" customWidth="1"/>
    <col min="12012" max="12012" width="9.81640625" style="7" customWidth="1"/>
    <col min="12013" max="12013" width="9.1796875" style="7"/>
    <col min="12014" max="12014" width="2.26953125" style="7" customWidth="1"/>
    <col min="12015" max="12015" width="10.81640625" style="7" customWidth="1"/>
    <col min="12016" max="12016" width="13" style="7" customWidth="1"/>
    <col min="12017" max="12233" width="9.1796875" style="7"/>
    <col min="12234" max="12234" width="41.81640625" style="7" customWidth="1"/>
    <col min="12235" max="12250" width="0" style="7" hidden="1" customWidth="1"/>
    <col min="12251" max="12251" width="12.54296875" style="7" customWidth="1"/>
    <col min="12252" max="12252" width="15.26953125" style="7" customWidth="1"/>
    <col min="12253" max="12253" width="13.1796875" style="7" customWidth="1"/>
    <col min="12254" max="12254" width="3.54296875" style="7" customWidth="1"/>
    <col min="12255" max="12255" width="13.1796875" style="7" customWidth="1"/>
    <col min="12256" max="12256" width="12.81640625" style="7" customWidth="1"/>
    <col min="12257" max="12258" width="12.453125" style="7" customWidth="1"/>
    <col min="12259" max="12259" width="8.7265625" style="7" customWidth="1"/>
    <col min="12260" max="12260" width="12.26953125" style="7" customWidth="1"/>
    <col min="12261" max="12261" width="10.54296875" style="7" customWidth="1"/>
    <col min="12262" max="12262" width="12.1796875" style="7" customWidth="1"/>
    <col min="12263" max="12263" width="9.1796875" style="7"/>
    <col min="12264" max="12264" width="3.54296875" style="7" customWidth="1"/>
    <col min="12265" max="12265" width="9.1796875" style="7"/>
    <col min="12266" max="12266" width="11" style="7" bestFit="1" customWidth="1"/>
    <col min="12267" max="12267" width="10.26953125" style="7" customWidth="1"/>
    <col min="12268" max="12268" width="9.81640625" style="7" customWidth="1"/>
    <col min="12269" max="12269" width="9.1796875" style="7"/>
    <col min="12270" max="12270" width="2.26953125" style="7" customWidth="1"/>
    <col min="12271" max="12271" width="10.81640625" style="7" customWidth="1"/>
    <col min="12272" max="12272" width="13" style="7" customWidth="1"/>
    <col min="12273" max="12489" width="9.1796875" style="7"/>
    <col min="12490" max="12490" width="41.81640625" style="7" customWidth="1"/>
    <col min="12491" max="12506" width="0" style="7" hidden="1" customWidth="1"/>
    <col min="12507" max="12507" width="12.54296875" style="7" customWidth="1"/>
    <col min="12508" max="12508" width="15.26953125" style="7" customWidth="1"/>
    <col min="12509" max="12509" width="13.1796875" style="7" customWidth="1"/>
    <col min="12510" max="12510" width="3.54296875" style="7" customWidth="1"/>
    <col min="12511" max="12511" width="13.1796875" style="7" customWidth="1"/>
    <col min="12512" max="12512" width="12.81640625" style="7" customWidth="1"/>
    <col min="12513" max="12514" width="12.453125" style="7" customWidth="1"/>
    <col min="12515" max="12515" width="8.7265625" style="7" customWidth="1"/>
    <col min="12516" max="12516" width="12.26953125" style="7" customWidth="1"/>
    <col min="12517" max="12517" width="10.54296875" style="7" customWidth="1"/>
    <col min="12518" max="12518" width="12.1796875" style="7" customWidth="1"/>
    <col min="12519" max="12519" width="9.1796875" style="7"/>
    <col min="12520" max="12520" width="3.54296875" style="7" customWidth="1"/>
    <col min="12521" max="12521" width="9.1796875" style="7"/>
    <col min="12522" max="12522" width="11" style="7" bestFit="1" customWidth="1"/>
    <col min="12523" max="12523" width="10.26953125" style="7" customWidth="1"/>
    <col min="12524" max="12524" width="9.81640625" style="7" customWidth="1"/>
    <col min="12525" max="12525" width="9.1796875" style="7"/>
    <col min="12526" max="12526" width="2.26953125" style="7" customWidth="1"/>
    <col min="12527" max="12527" width="10.81640625" style="7" customWidth="1"/>
    <col min="12528" max="12528" width="13" style="7" customWidth="1"/>
    <col min="12529" max="12745" width="9.1796875" style="7"/>
    <col min="12746" max="12746" width="41.81640625" style="7" customWidth="1"/>
    <col min="12747" max="12762" width="0" style="7" hidden="1" customWidth="1"/>
    <col min="12763" max="12763" width="12.54296875" style="7" customWidth="1"/>
    <col min="12764" max="12764" width="15.26953125" style="7" customWidth="1"/>
    <col min="12765" max="12765" width="13.1796875" style="7" customWidth="1"/>
    <col min="12766" max="12766" width="3.54296875" style="7" customWidth="1"/>
    <col min="12767" max="12767" width="13.1796875" style="7" customWidth="1"/>
    <col min="12768" max="12768" width="12.81640625" style="7" customWidth="1"/>
    <col min="12769" max="12770" width="12.453125" style="7" customWidth="1"/>
    <col min="12771" max="12771" width="8.7265625" style="7" customWidth="1"/>
    <col min="12772" max="12772" width="12.26953125" style="7" customWidth="1"/>
    <col min="12773" max="12773" width="10.54296875" style="7" customWidth="1"/>
    <col min="12774" max="12774" width="12.1796875" style="7" customWidth="1"/>
    <col min="12775" max="12775" width="9.1796875" style="7"/>
    <col min="12776" max="12776" width="3.54296875" style="7" customWidth="1"/>
    <col min="12777" max="12777" width="9.1796875" style="7"/>
    <col min="12778" max="12778" width="11" style="7" bestFit="1" customWidth="1"/>
    <col min="12779" max="12779" width="10.26953125" style="7" customWidth="1"/>
    <col min="12780" max="12780" width="9.81640625" style="7" customWidth="1"/>
    <col min="12781" max="12781" width="9.1796875" style="7"/>
    <col min="12782" max="12782" width="2.26953125" style="7" customWidth="1"/>
    <col min="12783" max="12783" width="10.81640625" style="7" customWidth="1"/>
    <col min="12784" max="12784" width="13" style="7" customWidth="1"/>
    <col min="12785" max="13001" width="9.1796875" style="7"/>
    <col min="13002" max="13002" width="41.81640625" style="7" customWidth="1"/>
    <col min="13003" max="13018" width="0" style="7" hidden="1" customWidth="1"/>
    <col min="13019" max="13019" width="12.54296875" style="7" customWidth="1"/>
    <col min="13020" max="13020" width="15.26953125" style="7" customWidth="1"/>
    <col min="13021" max="13021" width="13.1796875" style="7" customWidth="1"/>
    <col min="13022" max="13022" width="3.54296875" style="7" customWidth="1"/>
    <col min="13023" max="13023" width="13.1796875" style="7" customWidth="1"/>
    <col min="13024" max="13024" width="12.81640625" style="7" customWidth="1"/>
    <col min="13025" max="13026" width="12.453125" style="7" customWidth="1"/>
    <col min="13027" max="13027" width="8.7265625" style="7" customWidth="1"/>
    <col min="13028" max="13028" width="12.26953125" style="7" customWidth="1"/>
    <col min="13029" max="13029" width="10.54296875" style="7" customWidth="1"/>
    <col min="13030" max="13030" width="12.1796875" style="7" customWidth="1"/>
    <col min="13031" max="13031" width="9.1796875" style="7"/>
    <col min="13032" max="13032" width="3.54296875" style="7" customWidth="1"/>
    <col min="13033" max="13033" width="9.1796875" style="7"/>
    <col min="13034" max="13034" width="11" style="7" bestFit="1" customWidth="1"/>
    <col min="13035" max="13035" width="10.26953125" style="7" customWidth="1"/>
    <col min="13036" max="13036" width="9.81640625" style="7" customWidth="1"/>
    <col min="13037" max="13037" width="9.1796875" style="7"/>
    <col min="13038" max="13038" width="2.26953125" style="7" customWidth="1"/>
    <col min="13039" max="13039" width="10.81640625" style="7" customWidth="1"/>
    <col min="13040" max="13040" width="13" style="7" customWidth="1"/>
    <col min="13041" max="13257" width="9.1796875" style="7"/>
    <col min="13258" max="13258" width="41.81640625" style="7" customWidth="1"/>
    <col min="13259" max="13274" width="0" style="7" hidden="1" customWidth="1"/>
    <col min="13275" max="13275" width="12.54296875" style="7" customWidth="1"/>
    <col min="13276" max="13276" width="15.26953125" style="7" customWidth="1"/>
    <col min="13277" max="13277" width="13.1796875" style="7" customWidth="1"/>
    <col min="13278" max="13278" width="3.54296875" style="7" customWidth="1"/>
    <col min="13279" max="13279" width="13.1796875" style="7" customWidth="1"/>
    <col min="13280" max="13280" width="12.81640625" style="7" customWidth="1"/>
    <col min="13281" max="13282" width="12.453125" style="7" customWidth="1"/>
    <col min="13283" max="13283" width="8.7265625" style="7" customWidth="1"/>
    <col min="13284" max="13284" width="12.26953125" style="7" customWidth="1"/>
    <col min="13285" max="13285" width="10.54296875" style="7" customWidth="1"/>
    <col min="13286" max="13286" width="12.1796875" style="7" customWidth="1"/>
    <col min="13287" max="13287" width="9.1796875" style="7"/>
    <col min="13288" max="13288" width="3.54296875" style="7" customWidth="1"/>
    <col min="13289" max="13289" width="9.1796875" style="7"/>
    <col min="13290" max="13290" width="11" style="7" bestFit="1" customWidth="1"/>
    <col min="13291" max="13291" width="10.26953125" style="7" customWidth="1"/>
    <col min="13292" max="13292" width="9.81640625" style="7" customWidth="1"/>
    <col min="13293" max="13293" width="9.1796875" style="7"/>
    <col min="13294" max="13294" width="2.26953125" style="7" customWidth="1"/>
    <col min="13295" max="13295" width="10.81640625" style="7" customWidth="1"/>
    <col min="13296" max="13296" width="13" style="7" customWidth="1"/>
    <col min="13297" max="13513" width="9.1796875" style="7"/>
    <col min="13514" max="13514" width="41.81640625" style="7" customWidth="1"/>
    <col min="13515" max="13530" width="0" style="7" hidden="1" customWidth="1"/>
    <col min="13531" max="13531" width="12.54296875" style="7" customWidth="1"/>
    <col min="13532" max="13532" width="15.26953125" style="7" customWidth="1"/>
    <col min="13533" max="13533" width="13.1796875" style="7" customWidth="1"/>
    <col min="13534" max="13534" width="3.54296875" style="7" customWidth="1"/>
    <col min="13535" max="13535" width="13.1796875" style="7" customWidth="1"/>
    <col min="13536" max="13536" width="12.81640625" style="7" customWidth="1"/>
    <col min="13537" max="13538" width="12.453125" style="7" customWidth="1"/>
    <col min="13539" max="13539" width="8.7265625" style="7" customWidth="1"/>
    <col min="13540" max="13540" width="12.26953125" style="7" customWidth="1"/>
    <col min="13541" max="13541" width="10.54296875" style="7" customWidth="1"/>
    <col min="13542" max="13542" width="12.1796875" style="7" customWidth="1"/>
    <col min="13543" max="13543" width="9.1796875" style="7"/>
    <col min="13544" max="13544" width="3.54296875" style="7" customWidth="1"/>
    <col min="13545" max="13545" width="9.1796875" style="7"/>
    <col min="13546" max="13546" width="11" style="7" bestFit="1" customWidth="1"/>
    <col min="13547" max="13547" width="10.26953125" style="7" customWidth="1"/>
    <col min="13548" max="13548" width="9.81640625" style="7" customWidth="1"/>
    <col min="13549" max="13549" width="9.1796875" style="7"/>
    <col min="13550" max="13550" width="2.26953125" style="7" customWidth="1"/>
    <col min="13551" max="13551" width="10.81640625" style="7" customWidth="1"/>
    <col min="13552" max="13552" width="13" style="7" customWidth="1"/>
    <col min="13553" max="13769" width="9.1796875" style="7"/>
    <col min="13770" max="13770" width="41.81640625" style="7" customWidth="1"/>
    <col min="13771" max="13786" width="0" style="7" hidden="1" customWidth="1"/>
    <col min="13787" max="13787" width="12.54296875" style="7" customWidth="1"/>
    <col min="13788" max="13788" width="15.26953125" style="7" customWidth="1"/>
    <col min="13789" max="13789" width="13.1796875" style="7" customWidth="1"/>
    <col min="13790" max="13790" width="3.54296875" style="7" customWidth="1"/>
    <col min="13791" max="13791" width="13.1796875" style="7" customWidth="1"/>
    <col min="13792" max="13792" width="12.81640625" style="7" customWidth="1"/>
    <col min="13793" max="13794" width="12.453125" style="7" customWidth="1"/>
    <col min="13795" max="13795" width="8.7265625" style="7" customWidth="1"/>
    <col min="13796" max="13796" width="12.26953125" style="7" customWidth="1"/>
    <col min="13797" max="13797" width="10.54296875" style="7" customWidth="1"/>
    <col min="13798" max="13798" width="12.1796875" style="7" customWidth="1"/>
    <col min="13799" max="13799" width="9.1796875" style="7"/>
    <col min="13800" max="13800" width="3.54296875" style="7" customWidth="1"/>
    <col min="13801" max="13801" width="9.1796875" style="7"/>
    <col min="13802" max="13802" width="11" style="7" bestFit="1" customWidth="1"/>
    <col min="13803" max="13803" width="10.26953125" style="7" customWidth="1"/>
    <col min="13804" max="13804" width="9.81640625" style="7" customWidth="1"/>
    <col min="13805" max="13805" width="9.1796875" style="7"/>
    <col min="13806" max="13806" width="2.26953125" style="7" customWidth="1"/>
    <col min="13807" max="13807" width="10.81640625" style="7" customWidth="1"/>
    <col min="13808" max="13808" width="13" style="7" customWidth="1"/>
    <col min="13809" max="14025" width="9.1796875" style="7"/>
    <col min="14026" max="14026" width="41.81640625" style="7" customWidth="1"/>
    <col min="14027" max="14042" width="0" style="7" hidden="1" customWidth="1"/>
    <col min="14043" max="14043" width="12.54296875" style="7" customWidth="1"/>
    <col min="14044" max="14044" width="15.26953125" style="7" customWidth="1"/>
    <col min="14045" max="14045" width="13.1796875" style="7" customWidth="1"/>
    <col min="14046" max="14046" width="3.54296875" style="7" customWidth="1"/>
    <col min="14047" max="14047" width="13.1796875" style="7" customWidth="1"/>
    <col min="14048" max="14048" width="12.81640625" style="7" customWidth="1"/>
    <col min="14049" max="14050" width="12.453125" style="7" customWidth="1"/>
    <col min="14051" max="14051" width="8.7265625" style="7" customWidth="1"/>
    <col min="14052" max="14052" width="12.26953125" style="7" customWidth="1"/>
    <col min="14053" max="14053" width="10.54296875" style="7" customWidth="1"/>
    <col min="14054" max="14054" width="12.1796875" style="7" customWidth="1"/>
    <col min="14055" max="14055" width="9.1796875" style="7"/>
    <col min="14056" max="14056" width="3.54296875" style="7" customWidth="1"/>
    <col min="14057" max="14057" width="9.1796875" style="7"/>
    <col min="14058" max="14058" width="11" style="7" bestFit="1" customWidth="1"/>
    <col min="14059" max="14059" width="10.26953125" style="7" customWidth="1"/>
    <col min="14060" max="14060" width="9.81640625" style="7" customWidth="1"/>
    <col min="14061" max="14061" width="9.1796875" style="7"/>
    <col min="14062" max="14062" width="2.26953125" style="7" customWidth="1"/>
    <col min="14063" max="14063" width="10.81640625" style="7" customWidth="1"/>
    <col min="14064" max="14064" width="13" style="7" customWidth="1"/>
    <col min="14065" max="14281" width="9.1796875" style="7"/>
    <col min="14282" max="14282" width="41.81640625" style="7" customWidth="1"/>
    <col min="14283" max="14298" width="0" style="7" hidden="1" customWidth="1"/>
    <col min="14299" max="14299" width="12.54296875" style="7" customWidth="1"/>
    <col min="14300" max="14300" width="15.26953125" style="7" customWidth="1"/>
    <col min="14301" max="14301" width="13.1796875" style="7" customWidth="1"/>
    <col min="14302" max="14302" width="3.54296875" style="7" customWidth="1"/>
    <col min="14303" max="14303" width="13.1796875" style="7" customWidth="1"/>
    <col min="14304" max="14304" width="12.81640625" style="7" customWidth="1"/>
    <col min="14305" max="14306" width="12.453125" style="7" customWidth="1"/>
    <col min="14307" max="14307" width="8.7265625" style="7" customWidth="1"/>
    <col min="14308" max="14308" width="12.26953125" style="7" customWidth="1"/>
    <col min="14309" max="14309" width="10.54296875" style="7" customWidth="1"/>
    <col min="14310" max="14310" width="12.1796875" style="7" customWidth="1"/>
    <col min="14311" max="14311" width="9.1796875" style="7"/>
    <col min="14312" max="14312" width="3.54296875" style="7" customWidth="1"/>
    <col min="14313" max="14313" width="9.1796875" style="7"/>
    <col min="14314" max="14314" width="11" style="7" bestFit="1" customWidth="1"/>
    <col min="14315" max="14315" width="10.26953125" style="7" customWidth="1"/>
    <col min="14316" max="14316" width="9.81640625" style="7" customWidth="1"/>
    <col min="14317" max="14317" width="9.1796875" style="7"/>
    <col min="14318" max="14318" width="2.26953125" style="7" customWidth="1"/>
    <col min="14319" max="14319" width="10.81640625" style="7" customWidth="1"/>
    <col min="14320" max="14320" width="13" style="7" customWidth="1"/>
    <col min="14321" max="14537" width="9.1796875" style="7"/>
    <col min="14538" max="14538" width="41.81640625" style="7" customWidth="1"/>
    <col min="14539" max="14554" width="0" style="7" hidden="1" customWidth="1"/>
    <col min="14555" max="14555" width="12.54296875" style="7" customWidth="1"/>
    <col min="14556" max="14556" width="15.26953125" style="7" customWidth="1"/>
    <col min="14557" max="14557" width="13.1796875" style="7" customWidth="1"/>
    <col min="14558" max="14558" width="3.54296875" style="7" customWidth="1"/>
    <col min="14559" max="14559" width="13.1796875" style="7" customWidth="1"/>
    <col min="14560" max="14560" width="12.81640625" style="7" customWidth="1"/>
    <col min="14561" max="14562" width="12.453125" style="7" customWidth="1"/>
    <col min="14563" max="14563" width="8.7265625" style="7" customWidth="1"/>
    <col min="14564" max="14564" width="12.26953125" style="7" customWidth="1"/>
    <col min="14565" max="14565" width="10.54296875" style="7" customWidth="1"/>
    <col min="14566" max="14566" width="12.1796875" style="7" customWidth="1"/>
    <col min="14567" max="14567" width="9.1796875" style="7"/>
    <col min="14568" max="14568" width="3.54296875" style="7" customWidth="1"/>
    <col min="14569" max="14569" width="9.1796875" style="7"/>
    <col min="14570" max="14570" width="11" style="7" bestFit="1" customWidth="1"/>
    <col min="14571" max="14571" width="10.26953125" style="7" customWidth="1"/>
    <col min="14572" max="14572" width="9.81640625" style="7" customWidth="1"/>
    <col min="14573" max="14573" width="9.1796875" style="7"/>
    <col min="14574" max="14574" width="2.26953125" style="7" customWidth="1"/>
    <col min="14575" max="14575" width="10.81640625" style="7" customWidth="1"/>
    <col min="14576" max="14576" width="13" style="7" customWidth="1"/>
    <col min="14577" max="14793" width="9.1796875" style="7"/>
    <col min="14794" max="14794" width="41.81640625" style="7" customWidth="1"/>
    <col min="14795" max="14810" width="0" style="7" hidden="1" customWidth="1"/>
    <col min="14811" max="14811" width="12.54296875" style="7" customWidth="1"/>
    <col min="14812" max="14812" width="15.26953125" style="7" customWidth="1"/>
    <col min="14813" max="14813" width="13.1796875" style="7" customWidth="1"/>
    <col min="14814" max="14814" width="3.54296875" style="7" customWidth="1"/>
    <col min="14815" max="14815" width="13.1796875" style="7" customWidth="1"/>
    <col min="14816" max="14816" width="12.81640625" style="7" customWidth="1"/>
    <col min="14817" max="14818" width="12.453125" style="7" customWidth="1"/>
    <col min="14819" max="14819" width="8.7265625" style="7" customWidth="1"/>
    <col min="14820" max="14820" width="12.26953125" style="7" customWidth="1"/>
    <col min="14821" max="14821" width="10.54296875" style="7" customWidth="1"/>
    <col min="14822" max="14822" width="12.1796875" style="7" customWidth="1"/>
    <col min="14823" max="14823" width="9.1796875" style="7"/>
    <col min="14824" max="14824" width="3.54296875" style="7" customWidth="1"/>
    <col min="14825" max="14825" width="9.1796875" style="7"/>
    <col min="14826" max="14826" width="11" style="7" bestFit="1" customWidth="1"/>
    <col min="14827" max="14827" width="10.26953125" style="7" customWidth="1"/>
    <col min="14828" max="14828" width="9.81640625" style="7" customWidth="1"/>
    <col min="14829" max="14829" width="9.1796875" style="7"/>
    <col min="14830" max="14830" width="2.26953125" style="7" customWidth="1"/>
    <col min="14831" max="14831" width="10.81640625" style="7" customWidth="1"/>
    <col min="14832" max="14832" width="13" style="7" customWidth="1"/>
    <col min="14833" max="15049" width="9.1796875" style="7"/>
    <col min="15050" max="15050" width="41.81640625" style="7" customWidth="1"/>
    <col min="15051" max="15066" width="0" style="7" hidden="1" customWidth="1"/>
    <col min="15067" max="15067" width="12.54296875" style="7" customWidth="1"/>
    <col min="15068" max="15068" width="15.26953125" style="7" customWidth="1"/>
    <col min="15069" max="15069" width="13.1796875" style="7" customWidth="1"/>
    <col min="15070" max="15070" width="3.54296875" style="7" customWidth="1"/>
    <col min="15071" max="15071" width="13.1796875" style="7" customWidth="1"/>
    <col min="15072" max="15072" width="12.81640625" style="7" customWidth="1"/>
    <col min="15073" max="15074" width="12.453125" style="7" customWidth="1"/>
    <col min="15075" max="15075" width="8.7265625" style="7" customWidth="1"/>
    <col min="15076" max="15076" width="12.26953125" style="7" customWidth="1"/>
    <col min="15077" max="15077" width="10.54296875" style="7" customWidth="1"/>
    <col min="15078" max="15078" width="12.1796875" style="7" customWidth="1"/>
    <col min="15079" max="15079" width="9.1796875" style="7"/>
    <col min="15080" max="15080" width="3.54296875" style="7" customWidth="1"/>
    <col min="15081" max="15081" width="9.1796875" style="7"/>
    <col min="15082" max="15082" width="11" style="7" bestFit="1" customWidth="1"/>
    <col min="15083" max="15083" width="10.26953125" style="7" customWidth="1"/>
    <col min="15084" max="15084" width="9.81640625" style="7" customWidth="1"/>
    <col min="15085" max="15085" width="9.1796875" style="7"/>
    <col min="15086" max="15086" width="2.26953125" style="7" customWidth="1"/>
    <col min="15087" max="15087" width="10.81640625" style="7" customWidth="1"/>
    <col min="15088" max="15088" width="13" style="7" customWidth="1"/>
    <col min="15089" max="15305" width="9.1796875" style="7"/>
    <col min="15306" max="15306" width="41.81640625" style="7" customWidth="1"/>
    <col min="15307" max="15322" width="0" style="7" hidden="1" customWidth="1"/>
    <col min="15323" max="15323" width="12.54296875" style="7" customWidth="1"/>
    <col min="15324" max="15324" width="15.26953125" style="7" customWidth="1"/>
    <col min="15325" max="15325" width="13.1796875" style="7" customWidth="1"/>
    <col min="15326" max="15326" width="3.54296875" style="7" customWidth="1"/>
    <col min="15327" max="15327" width="13.1796875" style="7" customWidth="1"/>
    <col min="15328" max="15328" width="12.81640625" style="7" customWidth="1"/>
    <col min="15329" max="15330" width="12.453125" style="7" customWidth="1"/>
    <col min="15331" max="15331" width="8.7265625" style="7" customWidth="1"/>
    <col min="15332" max="15332" width="12.26953125" style="7" customWidth="1"/>
    <col min="15333" max="15333" width="10.54296875" style="7" customWidth="1"/>
    <col min="15334" max="15334" width="12.1796875" style="7" customWidth="1"/>
    <col min="15335" max="15335" width="9.1796875" style="7"/>
    <col min="15336" max="15336" width="3.54296875" style="7" customWidth="1"/>
    <col min="15337" max="15337" width="9.1796875" style="7"/>
    <col min="15338" max="15338" width="11" style="7" bestFit="1" customWidth="1"/>
    <col min="15339" max="15339" width="10.26953125" style="7" customWidth="1"/>
    <col min="15340" max="15340" width="9.81640625" style="7" customWidth="1"/>
    <col min="15341" max="15341" width="9.1796875" style="7"/>
    <col min="15342" max="15342" width="2.26953125" style="7" customWidth="1"/>
    <col min="15343" max="15343" width="10.81640625" style="7" customWidth="1"/>
    <col min="15344" max="15344" width="13" style="7" customWidth="1"/>
    <col min="15345" max="15561" width="9.1796875" style="7"/>
    <col min="15562" max="15562" width="41.81640625" style="7" customWidth="1"/>
    <col min="15563" max="15578" width="0" style="7" hidden="1" customWidth="1"/>
    <col min="15579" max="15579" width="12.54296875" style="7" customWidth="1"/>
    <col min="15580" max="15580" width="15.26953125" style="7" customWidth="1"/>
    <col min="15581" max="15581" width="13.1796875" style="7" customWidth="1"/>
    <col min="15582" max="15582" width="3.54296875" style="7" customWidth="1"/>
    <col min="15583" max="15583" width="13.1796875" style="7" customWidth="1"/>
    <col min="15584" max="15584" width="12.81640625" style="7" customWidth="1"/>
    <col min="15585" max="15586" width="12.453125" style="7" customWidth="1"/>
    <col min="15587" max="15587" width="8.7265625" style="7" customWidth="1"/>
    <col min="15588" max="15588" width="12.26953125" style="7" customWidth="1"/>
    <col min="15589" max="15589" width="10.54296875" style="7" customWidth="1"/>
    <col min="15590" max="15590" width="12.1796875" style="7" customWidth="1"/>
    <col min="15591" max="15591" width="9.1796875" style="7"/>
    <col min="15592" max="15592" width="3.54296875" style="7" customWidth="1"/>
    <col min="15593" max="15593" width="9.1796875" style="7"/>
    <col min="15594" max="15594" width="11" style="7" bestFit="1" customWidth="1"/>
    <col min="15595" max="15595" width="10.26953125" style="7" customWidth="1"/>
    <col min="15596" max="15596" width="9.81640625" style="7" customWidth="1"/>
    <col min="15597" max="15597" width="9.1796875" style="7"/>
    <col min="15598" max="15598" width="2.26953125" style="7" customWidth="1"/>
    <col min="15599" max="15599" width="10.81640625" style="7" customWidth="1"/>
    <col min="15600" max="15600" width="13" style="7" customWidth="1"/>
    <col min="15601" max="15817" width="9.1796875" style="7"/>
    <col min="15818" max="15818" width="41.81640625" style="7" customWidth="1"/>
    <col min="15819" max="15834" width="0" style="7" hidden="1" customWidth="1"/>
    <col min="15835" max="15835" width="12.54296875" style="7" customWidth="1"/>
    <col min="15836" max="15836" width="15.26953125" style="7" customWidth="1"/>
    <col min="15837" max="15837" width="13.1796875" style="7" customWidth="1"/>
    <col min="15838" max="15838" width="3.54296875" style="7" customWidth="1"/>
    <col min="15839" max="15839" width="13.1796875" style="7" customWidth="1"/>
    <col min="15840" max="15840" width="12.81640625" style="7" customWidth="1"/>
    <col min="15841" max="15842" width="12.453125" style="7" customWidth="1"/>
    <col min="15843" max="15843" width="8.7265625" style="7" customWidth="1"/>
    <col min="15844" max="15844" width="12.26953125" style="7" customWidth="1"/>
    <col min="15845" max="15845" width="10.54296875" style="7" customWidth="1"/>
    <col min="15846" max="15846" width="12.1796875" style="7" customWidth="1"/>
    <col min="15847" max="15847" width="9.1796875" style="7"/>
    <col min="15848" max="15848" width="3.54296875" style="7" customWidth="1"/>
    <col min="15849" max="15849" width="9.1796875" style="7"/>
    <col min="15850" max="15850" width="11" style="7" bestFit="1" customWidth="1"/>
    <col min="15851" max="15851" width="10.26953125" style="7" customWidth="1"/>
    <col min="15852" max="15852" width="9.81640625" style="7" customWidth="1"/>
    <col min="15853" max="15853" width="9.1796875" style="7"/>
    <col min="15854" max="15854" width="2.26953125" style="7" customWidth="1"/>
    <col min="15855" max="15855" width="10.81640625" style="7" customWidth="1"/>
    <col min="15856" max="15856" width="13" style="7" customWidth="1"/>
    <col min="15857" max="16073" width="9.1796875" style="7"/>
    <col min="16074" max="16074" width="41.81640625" style="7" customWidth="1"/>
    <col min="16075" max="16090" width="0" style="7" hidden="1" customWidth="1"/>
    <col min="16091" max="16091" width="12.54296875" style="7" customWidth="1"/>
    <col min="16092" max="16092" width="15.26953125" style="7" customWidth="1"/>
    <col min="16093" max="16093" width="13.1796875" style="7" customWidth="1"/>
    <col min="16094" max="16094" width="3.54296875" style="7" customWidth="1"/>
    <col min="16095" max="16095" width="13.1796875" style="7" customWidth="1"/>
    <col min="16096" max="16096" width="12.81640625" style="7" customWidth="1"/>
    <col min="16097" max="16098" width="12.453125" style="7" customWidth="1"/>
    <col min="16099" max="16099" width="8.7265625" style="7" customWidth="1"/>
    <col min="16100" max="16100" width="12.26953125" style="7" customWidth="1"/>
    <col min="16101" max="16101" width="10.54296875" style="7" customWidth="1"/>
    <col min="16102" max="16102" width="12.1796875" style="7" customWidth="1"/>
    <col min="16103" max="16103" width="9.1796875" style="7"/>
    <col min="16104" max="16104" width="3.54296875" style="7" customWidth="1"/>
    <col min="16105" max="16105" width="9.1796875" style="7"/>
    <col min="16106" max="16106" width="11" style="7" bestFit="1" customWidth="1"/>
    <col min="16107" max="16107" width="10.26953125" style="7" customWidth="1"/>
    <col min="16108" max="16108" width="9.81640625" style="7" customWidth="1"/>
    <col min="16109" max="16109" width="9.1796875" style="7"/>
    <col min="16110" max="16110" width="2.26953125" style="7" customWidth="1"/>
    <col min="16111" max="16111" width="10.81640625" style="7" customWidth="1"/>
    <col min="16112" max="16112" width="13" style="7" customWidth="1"/>
    <col min="16113" max="16383" width="9.1796875" style="7"/>
    <col min="16384" max="16384" width="9.1796875" style="7" customWidth="1"/>
  </cols>
  <sheetData>
    <row r="1" spans="1:6" s="1" customFormat="1" ht="13" x14ac:dyDescent="0.3">
      <c r="A1" s="1" t="s">
        <v>226</v>
      </c>
      <c r="B1" s="2"/>
      <c r="C1" s="2"/>
      <c r="E1" s="16"/>
    </row>
    <row r="2" spans="1:6" s="1" customFormat="1" ht="13" x14ac:dyDescent="0.3">
      <c r="B2" s="2" t="s">
        <v>0</v>
      </c>
      <c r="C2" s="2" t="s">
        <v>0</v>
      </c>
      <c r="E2" s="16" t="s">
        <v>232</v>
      </c>
    </row>
    <row r="3" spans="1:6" s="1" customFormat="1" ht="13" x14ac:dyDescent="0.3">
      <c r="B3" s="2"/>
      <c r="C3" s="2"/>
      <c r="E3" s="16"/>
    </row>
    <row r="4" spans="1:6" s="1" customFormat="1" ht="13" x14ac:dyDescent="0.3">
      <c r="B4" s="2"/>
      <c r="C4" s="2"/>
      <c r="E4" s="16"/>
    </row>
    <row r="5" spans="1:6" s="1" customFormat="1" ht="13" x14ac:dyDescent="0.3">
      <c r="B5" s="2"/>
      <c r="C5" s="2"/>
      <c r="E5" s="16"/>
    </row>
    <row r="6" spans="1:6" s="3" customFormat="1" ht="13" x14ac:dyDescent="0.3">
      <c r="B6" s="4" t="s">
        <v>1</v>
      </c>
      <c r="C6" s="5" t="s">
        <v>2</v>
      </c>
      <c r="E6" s="17" t="s">
        <v>246</v>
      </c>
      <c r="F6" s="3" t="s">
        <v>247</v>
      </c>
    </row>
    <row r="7" spans="1:6" x14ac:dyDescent="0.25">
      <c r="A7" s="6" t="s">
        <v>3</v>
      </c>
      <c r="B7" s="11">
        <f>245353*0.75</f>
        <v>184014.75</v>
      </c>
      <c r="C7" s="11">
        <f>46626309*0.75</f>
        <v>34969731.75</v>
      </c>
      <c r="E7" s="19"/>
    </row>
    <row r="8" spans="1:6" x14ac:dyDescent="0.25">
      <c r="A8" s="7" t="s">
        <v>4</v>
      </c>
      <c r="B8" s="8"/>
      <c r="C8" s="8"/>
      <c r="E8" s="18"/>
    </row>
    <row r="9" spans="1:6" x14ac:dyDescent="0.25">
      <c r="A9" s="7" t="s">
        <v>5</v>
      </c>
      <c r="B9" s="8"/>
      <c r="C9" s="8"/>
      <c r="E9" s="18"/>
    </row>
    <row r="10" spans="1:6" x14ac:dyDescent="0.25">
      <c r="A10" s="7" t="s">
        <v>6</v>
      </c>
      <c r="B10" s="8"/>
      <c r="C10" s="8"/>
      <c r="E10" s="18"/>
    </row>
    <row r="11" spans="1:6" x14ac:dyDescent="0.25">
      <c r="A11" s="7" t="s">
        <v>7</v>
      </c>
      <c r="B11" s="8"/>
      <c r="C11" s="8"/>
      <c r="E11" s="18"/>
    </row>
    <row r="12" spans="1:6" x14ac:dyDescent="0.25">
      <c r="A12" s="7" t="s">
        <v>146</v>
      </c>
      <c r="B12" s="8"/>
      <c r="C12" s="8"/>
      <c r="E12" s="18"/>
    </row>
    <row r="13" spans="1:6" x14ac:dyDescent="0.25">
      <c r="A13" s="6" t="s">
        <v>8</v>
      </c>
      <c r="B13" s="11">
        <f>79355*0.75</f>
        <v>59516.25</v>
      </c>
      <c r="C13" s="11">
        <f>34092378*0.75</f>
        <v>25569283.5</v>
      </c>
      <c r="E13" s="19"/>
    </row>
    <row r="14" spans="1:6" x14ac:dyDescent="0.25">
      <c r="A14" s="7" t="s">
        <v>9</v>
      </c>
      <c r="B14" s="8"/>
      <c r="C14" s="8"/>
      <c r="E14" s="18"/>
    </row>
    <row r="15" spans="1:6" x14ac:dyDescent="0.25">
      <c r="A15" s="7" t="s">
        <v>10</v>
      </c>
      <c r="B15" s="8"/>
      <c r="C15" s="8"/>
      <c r="E15" s="18"/>
    </row>
    <row r="16" spans="1:6" x14ac:dyDescent="0.25">
      <c r="A16" s="7" t="s">
        <v>11</v>
      </c>
      <c r="B16" s="8"/>
      <c r="C16" s="8"/>
      <c r="E16" s="18"/>
    </row>
    <row r="17" spans="1:5" x14ac:dyDescent="0.25">
      <c r="A17" s="7" t="s">
        <v>12</v>
      </c>
      <c r="B17" s="8"/>
      <c r="C17" s="8"/>
      <c r="E17" s="18"/>
    </row>
    <row r="18" spans="1:5" x14ac:dyDescent="0.25">
      <c r="A18" s="7" t="s">
        <v>147</v>
      </c>
      <c r="B18" s="8"/>
      <c r="C18" s="8"/>
      <c r="E18" s="18"/>
    </row>
    <row r="19" spans="1:5" x14ac:dyDescent="0.25">
      <c r="A19" s="6" t="s">
        <v>129</v>
      </c>
      <c r="B19" s="11">
        <f>713*0.75</f>
        <v>534.75</v>
      </c>
      <c r="C19" s="11">
        <f>53934*0.75</f>
        <v>40450.5</v>
      </c>
      <c r="E19" s="19"/>
    </row>
    <row r="20" spans="1:5" x14ac:dyDescent="0.25">
      <c r="A20" s="7" t="s">
        <v>13</v>
      </c>
      <c r="B20" s="8"/>
      <c r="C20" s="8"/>
      <c r="E20" s="18"/>
    </row>
    <row r="21" spans="1:5" x14ac:dyDescent="0.25">
      <c r="A21" s="7" t="s">
        <v>14</v>
      </c>
      <c r="B21" s="8"/>
      <c r="C21" s="8"/>
      <c r="E21" s="18"/>
    </row>
    <row r="22" spans="1:5" x14ac:dyDescent="0.25">
      <c r="A22" s="7" t="s">
        <v>15</v>
      </c>
      <c r="B22" s="8"/>
      <c r="C22" s="8"/>
      <c r="E22" s="18"/>
    </row>
    <row r="23" spans="1:5" x14ac:dyDescent="0.25">
      <c r="A23" s="7" t="s">
        <v>16</v>
      </c>
      <c r="B23" s="8"/>
      <c r="C23" s="8"/>
      <c r="E23" s="18"/>
    </row>
    <row r="24" spans="1:5" x14ac:dyDescent="0.25">
      <c r="A24" s="7" t="s">
        <v>145</v>
      </c>
      <c r="B24" s="8"/>
      <c r="C24" s="8"/>
      <c r="E24" s="18"/>
    </row>
    <row r="25" spans="1:5" x14ac:dyDescent="0.25">
      <c r="A25" s="6" t="s">
        <v>130</v>
      </c>
      <c r="B25" s="11">
        <f>20804*0.75</f>
        <v>15603</v>
      </c>
      <c r="C25" s="11">
        <f>3271161*0.75</f>
        <v>2453370.75</v>
      </c>
      <c r="E25" s="19"/>
    </row>
    <row r="26" spans="1:5" x14ac:dyDescent="0.25">
      <c r="A26" s="7" t="s">
        <v>27</v>
      </c>
      <c r="B26" s="8"/>
      <c r="C26" s="8"/>
      <c r="E26" s="18"/>
    </row>
    <row r="27" spans="1:5" x14ac:dyDescent="0.25">
      <c r="A27" s="7" t="s">
        <v>28</v>
      </c>
      <c r="B27" s="8"/>
      <c r="C27" s="8"/>
      <c r="E27" s="18"/>
    </row>
    <row r="28" spans="1:5" x14ac:dyDescent="0.25">
      <c r="A28" s="7" t="s">
        <v>29</v>
      </c>
      <c r="B28" s="8"/>
      <c r="C28" s="8"/>
      <c r="E28" s="18"/>
    </row>
    <row r="29" spans="1:5" x14ac:dyDescent="0.25">
      <c r="A29" s="7" t="s">
        <v>30</v>
      </c>
      <c r="B29" s="8"/>
      <c r="C29" s="8"/>
      <c r="E29" s="18"/>
    </row>
    <row r="30" spans="1:5" x14ac:dyDescent="0.25">
      <c r="A30" s="7" t="s">
        <v>148</v>
      </c>
      <c r="B30" s="8"/>
      <c r="C30" s="8"/>
      <c r="E30" s="18"/>
    </row>
    <row r="31" spans="1:5" x14ac:dyDescent="0.25">
      <c r="B31" s="8"/>
      <c r="C31" s="8"/>
      <c r="E31" s="18"/>
    </row>
    <row r="32" spans="1:5" ht="13" x14ac:dyDescent="0.3">
      <c r="A32" s="10" t="s">
        <v>120</v>
      </c>
      <c r="B32" s="8"/>
      <c r="C32" s="8"/>
      <c r="E32" s="18"/>
    </row>
    <row r="33" spans="1:5" x14ac:dyDescent="0.25">
      <c r="A33" s="6" t="s">
        <v>17</v>
      </c>
      <c r="B33" s="11">
        <f>18202*0.75</f>
        <v>13651.5</v>
      </c>
      <c r="C33" s="11">
        <f>6444157*0.75</f>
        <v>4833117.75</v>
      </c>
      <c r="E33" s="19"/>
    </row>
    <row r="34" spans="1:5" x14ac:dyDescent="0.25">
      <c r="A34" s="7" t="s">
        <v>18</v>
      </c>
      <c r="B34" s="8"/>
      <c r="C34" s="8"/>
      <c r="E34" s="18"/>
    </row>
    <row r="35" spans="1:5" x14ac:dyDescent="0.25">
      <c r="A35" s="7" t="s">
        <v>19</v>
      </c>
      <c r="B35" s="8"/>
      <c r="C35" s="8"/>
      <c r="E35" s="18"/>
    </row>
    <row r="36" spans="1:5" x14ac:dyDescent="0.25">
      <c r="A36" s="7" t="s">
        <v>20</v>
      </c>
      <c r="B36" s="8"/>
      <c r="C36" s="8"/>
      <c r="E36" s="18"/>
    </row>
    <row r="37" spans="1:5" x14ac:dyDescent="0.25">
      <c r="A37" s="7" t="s">
        <v>21</v>
      </c>
      <c r="B37" s="8"/>
      <c r="C37" s="8"/>
      <c r="E37" s="18"/>
    </row>
    <row r="38" spans="1:5" x14ac:dyDescent="0.25">
      <c r="A38" s="7" t="s">
        <v>149</v>
      </c>
      <c r="B38" s="8"/>
      <c r="C38" s="8"/>
      <c r="E38" s="18"/>
    </row>
    <row r="39" spans="1:5" x14ac:dyDescent="0.25">
      <c r="A39" s="6" t="s">
        <v>36</v>
      </c>
      <c r="B39" s="11">
        <f>2052*0.75</f>
        <v>1539</v>
      </c>
      <c r="C39" s="11">
        <f>995479*0.75</f>
        <v>746609.25</v>
      </c>
      <c r="E39" s="19"/>
    </row>
    <row r="40" spans="1:5" x14ac:dyDescent="0.25">
      <c r="A40" s="7" t="s">
        <v>37</v>
      </c>
      <c r="B40" s="8"/>
      <c r="C40" s="8"/>
      <c r="E40" s="18"/>
    </row>
    <row r="41" spans="1:5" x14ac:dyDescent="0.25">
      <c r="A41" s="7" t="s">
        <v>38</v>
      </c>
      <c r="B41" s="8"/>
      <c r="C41" s="8"/>
      <c r="E41" s="18"/>
    </row>
    <row r="42" spans="1:5" x14ac:dyDescent="0.25">
      <c r="A42" s="7" t="s">
        <v>39</v>
      </c>
      <c r="B42" s="8"/>
      <c r="C42" s="8"/>
      <c r="E42" s="18"/>
    </row>
    <row r="43" spans="1:5" x14ac:dyDescent="0.25">
      <c r="A43" s="7" t="s">
        <v>40</v>
      </c>
      <c r="B43" s="8"/>
      <c r="C43" s="8"/>
      <c r="E43" s="18"/>
    </row>
    <row r="44" spans="1:5" x14ac:dyDescent="0.25">
      <c r="A44" s="7" t="s">
        <v>150</v>
      </c>
      <c r="B44" s="8"/>
      <c r="C44" s="8"/>
      <c r="E44" s="18"/>
    </row>
    <row r="45" spans="1:5" x14ac:dyDescent="0.25">
      <c r="A45" s="6" t="s">
        <v>41</v>
      </c>
      <c r="B45" s="11">
        <f>2324*0.75</f>
        <v>1743</v>
      </c>
      <c r="C45" s="11">
        <f>2569525*0.75</f>
        <v>1927143.75</v>
      </c>
      <c r="E45" s="19"/>
    </row>
    <row r="46" spans="1:5" x14ac:dyDescent="0.25">
      <c r="A46" s="7" t="s">
        <v>42</v>
      </c>
      <c r="B46" s="8"/>
      <c r="C46" s="8"/>
      <c r="E46" s="18"/>
    </row>
    <row r="47" spans="1:5" x14ac:dyDescent="0.25">
      <c r="A47" s="7" t="s">
        <v>43</v>
      </c>
      <c r="B47" s="8"/>
      <c r="C47" s="8"/>
      <c r="E47" s="18"/>
    </row>
    <row r="48" spans="1:5" x14ac:dyDescent="0.25">
      <c r="A48" s="7" t="s">
        <v>44</v>
      </c>
      <c r="B48" s="8"/>
      <c r="C48" s="8"/>
      <c r="E48" s="18"/>
    </row>
    <row r="49" spans="1:5" x14ac:dyDescent="0.25">
      <c r="A49" s="7" t="s">
        <v>45</v>
      </c>
      <c r="B49" s="8"/>
      <c r="C49" s="8"/>
      <c r="E49" s="18"/>
    </row>
    <row r="50" spans="1:5" x14ac:dyDescent="0.25">
      <c r="A50" s="7" t="s">
        <v>151</v>
      </c>
      <c r="B50" s="8"/>
      <c r="C50" s="8"/>
      <c r="E50" s="18"/>
    </row>
    <row r="51" spans="1:5" x14ac:dyDescent="0.25">
      <c r="A51" s="6" t="s">
        <v>61</v>
      </c>
      <c r="B51" s="11">
        <f>1896*0.51*0.75</f>
        <v>725.22</v>
      </c>
      <c r="C51" s="11">
        <f>531982*0.52*0.75</f>
        <v>207472.98</v>
      </c>
      <c r="E51" s="19"/>
    </row>
    <row r="52" spans="1:5" x14ac:dyDescent="0.25">
      <c r="A52" s="7" t="s">
        <v>62</v>
      </c>
      <c r="B52" s="8"/>
      <c r="C52" s="8"/>
      <c r="E52" s="18"/>
    </row>
    <row r="53" spans="1:5" x14ac:dyDescent="0.25">
      <c r="A53" s="7" t="s">
        <v>63</v>
      </c>
      <c r="B53" s="8"/>
      <c r="C53" s="8"/>
      <c r="E53" s="18"/>
    </row>
    <row r="54" spans="1:5" x14ac:dyDescent="0.25">
      <c r="A54" s="7" t="s">
        <v>64</v>
      </c>
      <c r="B54" s="8"/>
      <c r="C54" s="8"/>
      <c r="E54" s="18"/>
    </row>
    <row r="55" spans="1:5" x14ac:dyDescent="0.25">
      <c r="A55" s="7" t="s">
        <v>65</v>
      </c>
      <c r="B55" s="8"/>
      <c r="C55" s="8"/>
      <c r="E55" s="18"/>
    </row>
    <row r="56" spans="1:5" x14ac:dyDescent="0.25">
      <c r="A56" s="7" t="s">
        <v>152</v>
      </c>
      <c r="B56" s="8"/>
      <c r="C56" s="8"/>
      <c r="E56" s="18"/>
    </row>
    <row r="57" spans="1:5" x14ac:dyDescent="0.25">
      <c r="A57" s="6" t="s">
        <v>31</v>
      </c>
      <c r="B57" s="11">
        <f>5547*0.5*0.75</f>
        <v>2080.125</v>
      </c>
      <c r="C57" s="11">
        <f>2271362*0.5*0.75</f>
        <v>851760.75</v>
      </c>
      <c r="E57" s="19"/>
    </row>
    <row r="58" spans="1:5" x14ac:dyDescent="0.25">
      <c r="A58" s="7" t="s">
        <v>32</v>
      </c>
      <c r="B58" s="8"/>
      <c r="C58" s="8"/>
      <c r="E58" s="18"/>
    </row>
    <row r="59" spans="1:5" x14ac:dyDescent="0.25">
      <c r="A59" s="7" t="s">
        <v>33</v>
      </c>
      <c r="B59" s="8"/>
      <c r="C59" s="8"/>
      <c r="E59" s="18"/>
    </row>
    <row r="60" spans="1:5" x14ac:dyDescent="0.25">
      <c r="A60" s="7" t="s">
        <v>34</v>
      </c>
      <c r="B60" s="8"/>
      <c r="C60" s="8"/>
      <c r="E60" s="18"/>
    </row>
    <row r="61" spans="1:5" x14ac:dyDescent="0.25">
      <c r="A61" s="7" t="s">
        <v>35</v>
      </c>
      <c r="B61" s="8"/>
      <c r="C61" s="8"/>
      <c r="E61" s="18"/>
    </row>
    <row r="62" spans="1:5" x14ac:dyDescent="0.25">
      <c r="A62" s="7" t="s">
        <v>153</v>
      </c>
      <c r="B62" s="8"/>
      <c r="C62" s="8"/>
      <c r="E62" s="18"/>
    </row>
    <row r="63" spans="1:5" x14ac:dyDescent="0.25">
      <c r="A63" s="6" t="s">
        <v>106</v>
      </c>
      <c r="B63" s="11">
        <f>52*0.51*0.75</f>
        <v>19.89</v>
      </c>
      <c r="C63" s="11">
        <f>38985*0.63*0.75</f>
        <v>18420.412499999999</v>
      </c>
      <c r="E63" s="19"/>
    </row>
    <row r="64" spans="1:5" x14ac:dyDescent="0.25">
      <c r="A64" s="7" t="s">
        <v>107</v>
      </c>
      <c r="B64" s="8"/>
      <c r="C64" s="8"/>
      <c r="E64" s="18"/>
    </row>
    <row r="65" spans="1:5" x14ac:dyDescent="0.25">
      <c r="A65" s="7" t="s">
        <v>108</v>
      </c>
      <c r="B65" s="8"/>
      <c r="C65" s="8"/>
      <c r="E65" s="18"/>
    </row>
    <row r="66" spans="1:5" x14ac:dyDescent="0.25">
      <c r="A66" s="7" t="s">
        <v>109</v>
      </c>
      <c r="B66" s="8"/>
      <c r="C66" s="8"/>
      <c r="E66" s="18"/>
    </row>
    <row r="67" spans="1:5" x14ac:dyDescent="0.25">
      <c r="A67" s="7" t="s">
        <v>110</v>
      </c>
      <c r="B67" s="8"/>
      <c r="C67" s="8"/>
      <c r="E67" s="18"/>
    </row>
    <row r="68" spans="1:5" x14ac:dyDescent="0.25">
      <c r="A68" s="7" t="s">
        <v>154</v>
      </c>
      <c r="B68" s="8"/>
      <c r="C68" s="8"/>
      <c r="E68" s="18"/>
    </row>
    <row r="69" spans="1:5" x14ac:dyDescent="0.25">
      <c r="A69" s="6" t="s">
        <v>71</v>
      </c>
      <c r="B69" s="11">
        <f>411*0.75</f>
        <v>308.25</v>
      </c>
      <c r="C69" s="11">
        <f>225986*0.75</f>
        <v>169489.5</v>
      </c>
      <c r="E69" s="19"/>
    </row>
    <row r="70" spans="1:5" x14ac:dyDescent="0.25">
      <c r="A70" s="7" t="s">
        <v>72</v>
      </c>
      <c r="B70" s="8"/>
      <c r="C70" s="8"/>
      <c r="E70" s="18"/>
    </row>
    <row r="71" spans="1:5" x14ac:dyDescent="0.25">
      <c r="A71" s="7" t="s">
        <v>73</v>
      </c>
      <c r="B71" s="8"/>
      <c r="C71" s="8"/>
      <c r="E71" s="18"/>
    </row>
    <row r="72" spans="1:5" x14ac:dyDescent="0.25">
      <c r="A72" s="7" t="s">
        <v>74</v>
      </c>
      <c r="B72" s="8"/>
      <c r="C72" s="8"/>
      <c r="E72" s="18"/>
    </row>
    <row r="73" spans="1:5" x14ac:dyDescent="0.25">
      <c r="A73" s="7" t="s">
        <v>75</v>
      </c>
      <c r="B73" s="8"/>
      <c r="C73" s="8"/>
      <c r="E73" s="18"/>
    </row>
    <row r="74" spans="1:5" x14ac:dyDescent="0.25">
      <c r="A74" s="7" t="s">
        <v>155</v>
      </c>
      <c r="B74" s="8"/>
      <c r="C74" s="8"/>
      <c r="E74" s="18"/>
    </row>
    <row r="75" spans="1:5" x14ac:dyDescent="0.25">
      <c r="A75" s="6" t="s">
        <v>91</v>
      </c>
      <c r="B75" s="11">
        <f>1153*0.49*0.75</f>
        <v>423.72750000000002</v>
      </c>
      <c r="C75" s="11">
        <f>335195*0.48*0.75</f>
        <v>120670.20000000001</v>
      </c>
      <c r="E75" s="19"/>
    </row>
    <row r="76" spans="1:5" x14ac:dyDescent="0.25">
      <c r="A76" s="7" t="s">
        <v>92</v>
      </c>
      <c r="B76" s="8"/>
      <c r="C76" s="8"/>
      <c r="E76" s="18"/>
    </row>
    <row r="77" spans="1:5" x14ac:dyDescent="0.25">
      <c r="A77" s="7" t="s">
        <v>93</v>
      </c>
      <c r="B77" s="8"/>
      <c r="C77" s="8"/>
      <c r="E77" s="18"/>
    </row>
    <row r="78" spans="1:5" x14ac:dyDescent="0.25">
      <c r="A78" s="7" t="s">
        <v>94</v>
      </c>
      <c r="B78" s="8"/>
      <c r="C78" s="8"/>
      <c r="E78" s="18"/>
    </row>
    <row r="79" spans="1:5" x14ac:dyDescent="0.25">
      <c r="A79" s="7" t="s">
        <v>95</v>
      </c>
      <c r="B79" s="8"/>
      <c r="C79" s="8"/>
      <c r="E79" s="18"/>
    </row>
    <row r="80" spans="1:5" x14ac:dyDescent="0.25">
      <c r="A80" s="7" t="s">
        <v>156</v>
      </c>
      <c r="B80" s="8"/>
      <c r="C80" s="8"/>
      <c r="E80" s="18"/>
    </row>
    <row r="81" spans="1:5" x14ac:dyDescent="0.25">
      <c r="A81" s="6" t="s">
        <v>101</v>
      </c>
      <c r="B81" s="11">
        <f>201*0.37*0.75</f>
        <v>55.777500000000003</v>
      </c>
      <c r="C81" s="11">
        <f>56523*0.48*0.75</f>
        <v>20348.28</v>
      </c>
      <c r="E81" s="19"/>
    </row>
    <row r="82" spans="1:5" x14ac:dyDescent="0.25">
      <c r="A82" s="7" t="s">
        <v>102</v>
      </c>
      <c r="B82" s="8"/>
      <c r="C82" s="8"/>
      <c r="E82" s="18"/>
    </row>
    <row r="83" spans="1:5" x14ac:dyDescent="0.25">
      <c r="A83" s="7" t="s">
        <v>103</v>
      </c>
      <c r="B83" s="8"/>
      <c r="C83" s="8"/>
      <c r="E83" s="18"/>
    </row>
    <row r="84" spans="1:5" x14ac:dyDescent="0.25">
      <c r="A84" s="7" t="s">
        <v>104</v>
      </c>
      <c r="B84" s="8"/>
      <c r="C84" s="8"/>
      <c r="E84" s="18"/>
    </row>
    <row r="85" spans="1:5" x14ac:dyDescent="0.25">
      <c r="A85" s="7" t="s">
        <v>105</v>
      </c>
      <c r="B85" s="8"/>
      <c r="C85" s="8"/>
      <c r="E85" s="18"/>
    </row>
    <row r="86" spans="1:5" x14ac:dyDescent="0.25">
      <c r="A86" s="7" t="s">
        <v>157</v>
      </c>
      <c r="B86" s="8"/>
      <c r="C86" s="8"/>
      <c r="E86" s="18"/>
    </row>
    <row r="87" spans="1:5" x14ac:dyDescent="0.25">
      <c r="A87" s="6" t="s">
        <v>81</v>
      </c>
      <c r="B87" s="11">
        <f>1253*0.29*0.75</f>
        <v>272.52749999999997</v>
      </c>
      <c r="C87" s="11">
        <f>1642368*0.26*0.75</f>
        <v>320261.76000000001</v>
      </c>
      <c r="E87" s="19"/>
    </row>
    <row r="88" spans="1:5" x14ac:dyDescent="0.25">
      <c r="A88" s="7" t="s">
        <v>82</v>
      </c>
      <c r="B88" s="8"/>
      <c r="C88" s="8"/>
      <c r="E88" s="18"/>
    </row>
    <row r="89" spans="1:5" x14ac:dyDescent="0.25">
      <c r="A89" s="7" t="s">
        <v>83</v>
      </c>
      <c r="B89" s="8"/>
      <c r="C89" s="8"/>
      <c r="E89" s="18"/>
    </row>
    <row r="90" spans="1:5" x14ac:dyDescent="0.25">
      <c r="A90" s="7" t="s">
        <v>84</v>
      </c>
      <c r="B90" s="8"/>
      <c r="C90" s="8"/>
      <c r="E90" s="18"/>
    </row>
    <row r="91" spans="1:5" x14ac:dyDescent="0.25">
      <c r="A91" s="7" t="s">
        <v>85</v>
      </c>
      <c r="B91" s="8"/>
      <c r="C91" s="8"/>
      <c r="E91" s="18"/>
    </row>
    <row r="92" spans="1:5" x14ac:dyDescent="0.25">
      <c r="A92" s="7" t="s">
        <v>158</v>
      </c>
      <c r="B92" s="8"/>
      <c r="C92" s="8"/>
      <c r="E92" s="18"/>
    </row>
    <row r="93" spans="1:5" x14ac:dyDescent="0.25">
      <c r="B93" s="8"/>
      <c r="C93" s="8"/>
      <c r="E93" s="18"/>
    </row>
    <row r="94" spans="1:5" ht="13" x14ac:dyDescent="0.3">
      <c r="A94" s="10" t="s">
        <v>121</v>
      </c>
      <c r="B94" s="8"/>
      <c r="C94" s="8"/>
      <c r="E94" s="18"/>
    </row>
    <row r="95" spans="1:5" x14ac:dyDescent="0.25">
      <c r="A95" s="6" t="s">
        <v>22</v>
      </c>
      <c r="B95" s="11">
        <v>21091</v>
      </c>
      <c r="C95" s="11">
        <v>4062045</v>
      </c>
      <c r="E95" s="19"/>
    </row>
    <row r="96" spans="1:5" x14ac:dyDescent="0.25">
      <c r="A96" s="7" t="s">
        <v>23</v>
      </c>
      <c r="B96" s="8"/>
      <c r="C96" s="8"/>
      <c r="E96" s="18"/>
    </row>
    <row r="97" spans="1:5" x14ac:dyDescent="0.25">
      <c r="A97" s="7" t="s">
        <v>24</v>
      </c>
      <c r="B97" s="8"/>
      <c r="C97" s="8"/>
      <c r="E97" s="18"/>
    </row>
    <row r="98" spans="1:5" x14ac:dyDescent="0.25">
      <c r="A98" s="7" t="s">
        <v>25</v>
      </c>
      <c r="B98" s="8"/>
      <c r="C98" s="8"/>
      <c r="E98" s="18"/>
    </row>
    <row r="99" spans="1:5" x14ac:dyDescent="0.25">
      <c r="A99" s="7" t="s">
        <v>26</v>
      </c>
      <c r="B99" s="8"/>
      <c r="C99" s="8"/>
      <c r="E99" s="18"/>
    </row>
    <row r="100" spans="1:5" x14ac:dyDescent="0.25">
      <c r="A100" s="7" t="s">
        <v>159</v>
      </c>
      <c r="B100" s="8"/>
      <c r="C100" s="8"/>
      <c r="E100" s="18"/>
    </row>
    <row r="101" spans="1:5" x14ac:dyDescent="0.25">
      <c r="A101" s="6" t="s">
        <v>46</v>
      </c>
      <c r="B101" s="11">
        <v>2499</v>
      </c>
      <c r="C101" s="11">
        <v>441204</v>
      </c>
      <c r="E101" s="19"/>
    </row>
    <row r="102" spans="1:5" x14ac:dyDescent="0.25">
      <c r="A102" s="7" t="s">
        <v>47</v>
      </c>
      <c r="B102" s="8"/>
      <c r="C102" s="8"/>
      <c r="E102" s="18"/>
    </row>
    <row r="103" spans="1:5" x14ac:dyDescent="0.25">
      <c r="A103" s="7" t="s">
        <v>48</v>
      </c>
      <c r="B103" s="8"/>
      <c r="C103" s="8"/>
      <c r="E103" s="18"/>
    </row>
    <row r="104" spans="1:5" x14ac:dyDescent="0.25">
      <c r="A104" s="7" t="s">
        <v>49</v>
      </c>
      <c r="B104" s="8"/>
      <c r="C104" s="8"/>
      <c r="E104" s="18"/>
    </row>
    <row r="105" spans="1:5" x14ac:dyDescent="0.25">
      <c r="A105" s="7" t="s">
        <v>50</v>
      </c>
      <c r="B105" s="8"/>
      <c r="C105" s="8"/>
      <c r="E105" s="18"/>
    </row>
    <row r="106" spans="1:5" x14ac:dyDescent="0.25">
      <c r="A106" s="7" t="s">
        <v>150</v>
      </c>
      <c r="B106" s="8"/>
      <c r="C106" s="8"/>
      <c r="E106" s="18"/>
    </row>
    <row r="107" spans="1:5" x14ac:dyDescent="0.25">
      <c r="A107" s="6" t="s">
        <v>51</v>
      </c>
      <c r="B107" s="11">
        <v>1168</v>
      </c>
      <c r="C107" s="11">
        <v>342115</v>
      </c>
      <c r="E107" s="19"/>
    </row>
    <row r="108" spans="1:5" x14ac:dyDescent="0.25">
      <c r="A108" s="7" t="s">
        <v>52</v>
      </c>
      <c r="B108" s="8"/>
      <c r="C108" s="8"/>
      <c r="E108" s="18"/>
    </row>
    <row r="109" spans="1:5" x14ac:dyDescent="0.25">
      <c r="A109" s="7" t="s">
        <v>53</v>
      </c>
      <c r="B109" s="8"/>
      <c r="C109" s="8"/>
      <c r="E109" s="18"/>
    </row>
    <row r="110" spans="1:5" x14ac:dyDescent="0.25">
      <c r="A110" s="7" t="s">
        <v>54</v>
      </c>
      <c r="B110" s="8"/>
      <c r="C110" s="8"/>
      <c r="E110" s="18"/>
    </row>
    <row r="111" spans="1:5" x14ac:dyDescent="0.25">
      <c r="A111" s="7" t="s">
        <v>55</v>
      </c>
      <c r="B111" s="8"/>
      <c r="C111" s="8"/>
      <c r="E111" s="18"/>
    </row>
    <row r="112" spans="1:5" x14ac:dyDescent="0.25">
      <c r="A112" s="7" t="s">
        <v>160</v>
      </c>
      <c r="B112" s="8"/>
      <c r="C112" s="8"/>
      <c r="E112" s="18"/>
    </row>
    <row r="113" spans="1:5" x14ac:dyDescent="0.25">
      <c r="A113" s="6" t="s">
        <v>66</v>
      </c>
      <c r="B113" s="11">
        <f>1896*0.49</f>
        <v>929.04</v>
      </c>
      <c r="C113" s="11">
        <f>531982*0.48</f>
        <v>255351.36</v>
      </c>
      <c r="E113" s="19"/>
    </row>
    <row r="114" spans="1:5" x14ac:dyDescent="0.25">
      <c r="A114" s="7" t="s">
        <v>67</v>
      </c>
      <c r="B114" s="8"/>
      <c r="C114" s="8"/>
      <c r="E114" s="18"/>
    </row>
    <row r="115" spans="1:5" x14ac:dyDescent="0.25">
      <c r="A115" s="7" t="s">
        <v>68</v>
      </c>
      <c r="B115" s="8"/>
      <c r="C115" s="8"/>
      <c r="E115" s="18"/>
    </row>
    <row r="116" spans="1:5" x14ac:dyDescent="0.25">
      <c r="A116" s="7" t="s">
        <v>69</v>
      </c>
      <c r="B116" s="8"/>
      <c r="C116" s="8"/>
      <c r="E116" s="18"/>
    </row>
    <row r="117" spans="1:5" x14ac:dyDescent="0.25">
      <c r="A117" s="7" t="s">
        <v>70</v>
      </c>
      <c r="B117" s="8"/>
      <c r="C117" s="8"/>
      <c r="E117" s="18"/>
    </row>
    <row r="118" spans="1:5" x14ac:dyDescent="0.25">
      <c r="A118" s="7" t="s">
        <v>161</v>
      </c>
      <c r="B118" s="8"/>
      <c r="C118" s="8"/>
      <c r="E118" s="18"/>
    </row>
    <row r="119" spans="1:5" x14ac:dyDescent="0.25">
      <c r="A119" s="6" t="s">
        <v>122</v>
      </c>
      <c r="B119" s="11">
        <f>5547*0.5</f>
        <v>2773.5</v>
      </c>
      <c r="C119" s="11">
        <f>2271362*0.5</f>
        <v>1135681</v>
      </c>
      <c r="E119" s="19"/>
    </row>
    <row r="120" spans="1:5" x14ac:dyDescent="0.25">
      <c r="A120" s="7" t="s">
        <v>123</v>
      </c>
      <c r="B120" s="8"/>
      <c r="C120" s="8"/>
      <c r="E120" s="18"/>
    </row>
    <row r="121" spans="1:5" x14ac:dyDescent="0.25">
      <c r="A121" s="7" t="s">
        <v>125</v>
      </c>
      <c r="B121" s="8"/>
      <c r="C121" s="8"/>
      <c r="E121" s="18"/>
    </row>
    <row r="122" spans="1:5" x14ac:dyDescent="0.25">
      <c r="A122" s="7" t="s">
        <v>124</v>
      </c>
      <c r="B122" s="8"/>
      <c r="C122" s="8"/>
      <c r="E122" s="18"/>
    </row>
    <row r="123" spans="1:5" x14ac:dyDescent="0.25">
      <c r="A123" s="7" t="s">
        <v>126</v>
      </c>
      <c r="B123" s="8"/>
      <c r="C123" s="8"/>
      <c r="E123" s="18"/>
    </row>
    <row r="124" spans="1:5" x14ac:dyDescent="0.25">
      <c r="A124" s="7" t="s">
        <v>162</v>
      </c>
      <c r="B124" s="8"/>
      <c r="C124" s="8"/>
      <c r="E124" s="18"/>
    </row>
    <row r="125" spans="1:5" x14ac:dyDescent="0.25">
      <c r="A125" s="6" t="s">
        <v>115</v>
      </c>
      <c r="B125" s="11">
        <f>52*0.49</f>
        <v>25.48</v>
      </c>
      <c r="C125" s="11">
        <f>38985*0.37</f>
        <v>14424.45</v>
      </c>
      <c r="E125" s="19"/>
    </row>
    <row r="126" spans="1:5" x14ac:dyDescent="0.25">
      <c r="A126" s="7" t="s">
        <v>116</v>
      </c>
      <c r="B126" s="8"/>
      <c r="C126" s="8"/>
      <c r="E126" s="18"/>
    </row>
    <row r="127" spans="1:5" x14ac:dyDescent="0.25">
      <c r="A127" s="7" t="s">
        <v>117</v>
      </c>
      <c r="B127" s="8"/>
      <c r="C127" s="8"/>
      <c r="E127" s="18"/>
    </row>
    <row r="128" spans="1:5" x14ac:dyDescent="0.25">
      <c r="A128" s="7" t="s">
        <v>118</v>
      </c>
      <c r="B128" s="8"/>
      <c r="C128" s="8"/>
      <c r="E128" s="18"/>
    </row>
    <row r="129" spans="1:5" x14ac:dyDescent="0.25">
      <c r="A129" s="7" t="s">
        <v>119</v>
      </c>
      <c r="B129" s="8"/>
      <c r="C129" s="8"/>
      <c r="E129" s="18"/>
    </row>
    <row r="130" spans="1:5" x14ac:dyDescent="0.25">
      <c r="A130" s="7" t="s">
        <v>163</v>
      </c>
      <c r="B130" s="8"/>
      <c r="C130" s="8"/>
      <c r="E130" s="18"/>
    </row>
    <row r="131" spans="1:5" x14ac:dyDescent="0.25">
      <c r="A131" s="6" t="s">
        <v>76</v>
      </c>
      <c r="B131" s="11">
        <v>389</v>
      </c>
      <c r="C131" s="11">
        <v>103761</v>
      </c>
      <c r="E131" s="19"/>
    </row>
    <row r="132" spans="1:5" x14ac:dyDescent="0.25">
      <c r="A132" s="7" t="s">
        <v>77</v>
      </c>
      <c r="B132" s="8"/>
      <c r="C132" s="8"/>
      <c r="E132" s="18"/>
    </row>
    <row r="133" spans="1:5" x14ac:dyDescent="0.25">
      <c r="A133" s="7" t="s">
        <v>78</v>
      </c>
      <c r="B133" s="8"/>
      <c r="C133" s="8"/>
      <c r="E133" s="18"/>
    </row>
    <row r="134" spans="1:5" x14ac:dyDescent="0.25">
      <c r="A134" s="7" t="s">
        <v>79</v>
      </c>
      <c r="B134" s="8"/>
      <c r="C134" s="8"/>
      <c r="E134" s="18"/>
    </row>
    <row r="135" spans="1:5" x14ac:dyDescent="0.25">
      <c r="A135" s="7" t="s">
        <v>80</v>
      </c>
      <c r="B135" s="8"/>
      <c r="C135" s="8"/>
      <c r="E135" s="18"/>
    </row>
    <row r="136" spans="1:5" x14ac:dyDescent="0.25">
      <c r="A136" s="7" t="s">
        <v>164</v>
      </c>
      <c r="B136" s="8"/>
      <c r="C136" s="8"/>
      <c r="E136" s="18"/>
    </row>
    <row r="137" spans="1:5" x14ac:dyDescent="0.25">
      <c r="A137" s="6" t="s">
        <v>86</v>
      </c>
      <c r="B137" s="11">
        <f>1153*0.51</f>
        <v>588.03</v>
      </c>
      <c r="C137" s="11">
        <f>335195*0.52</f>
        <v>174301.4</v>
      </c>
      <c r="E137" s="19"/>
    </row>
    <row r="138" spans="1:5" x14ac:dyDescent="0.25">
      <c r="A138" s="7" t="s">
        <v>87</v>
      </c>
      <c r="B138" s="8"/>
      <c r="C138" s="8"/>
      <c r="E138" s="18"/>
    </row>
    <row r="139" spans="1:5" x14ac:dyDescent="0.25">
      <c r="A139" s="7" t="s">
        <v>88</v>
      </c>
      <c r="B139" s="8"/>
      <c r="C139" s="8"/>
      <c r="E139" s="18"/>
    </row>
    <row r="140" spans="1:5" x14ac:dyDescent="0.25">
      <c r="A140" s="7" t="s">
        <v>89</v>
      </c>
      <c r="B140" s="8"/>
      <c r="C140" s="8"/>
      <c r="E140" s="18"/>
    </row>
    <row r="141" spans="1:5" x14ac:dyDescent="0.25">
      <c r="A141" s="7" t="s">
        <v>90</v>
      </c>
      <c r="B141" s="8"/>
      <c r="C141" s="8"/>
      <c r="E141" s="18"/>
    </row>
    <row r="142" spans="1:5" x14ac:dyDescent="0.25">
      <c r="A142" s="7" t="s">
        <v>165</v>
      </c>
      <c r="B142" s="8"/>
      <c r="C142" s="8"/>
      <c r="E142" s="18"/>
    </row>
    <row r="143" spans="1:5" x14ac:dyDescent="0.25">
      <c r="A143" s="6" t="s">
        <v>96</v>
      </c>
      <c r="B143" s="11">
        <f>201*0.63</f>
        <v>126.63</v>
      </c>
      <c r="C143" s="11">
        <f>56523*0.52</f>
        <v>29391.960000000003</v>
      </c>
      <c r="E143" s="19"/>
    </row>
    <row r="144" spans="1:5" x14ac:dyDescent="0.25">
      <c r="A144" s="7" t="s">
        <v>97</v>
      </c>
      <c r="B144" s="8"/>
      <c r="C144" s="8"/>
      <c r="E144" s="18"/>
    </row>
    <row r="145" spans="1:5" x14ac:dyDescent="0.25">
      <c r="A145" s="7" t="s">
        <v>98</v>
      </c>
      <c r="B145" s="8"/>
      <c r="C145" s="8"/>
      <c r="E145" s="18"/>
    </row>
    <row r="146" spans="1:5" x14ac:dyDescent="0.25">
      <c r="A146" s="7" t="s">
        <v>99</v>
      </c>
      <c r="B146" s="8"/>
      <c r="C146" s="8"/>
      <c r="E146" s="18"/>
    </row>
    <row r="147" spans="1:5" x14ac:dyDescent="0.25">
      <c r="A147" s="7" t="s">
        <v>100</v>
      </c>
      <c r="B147" s="8"/>
      <c r="C147" s="8"/>
      <c r="E147" s="18"/>
    </row>
    <row r="148" spans="1:5" x14ac:dyDescent="0.25">
      <c r="A148" s="7" t="s">
        <v>166</v>
      </c>
      <c r="B148" s="8"/>
      <c r="C148" s="8"/>
      <c r="E148" s="18"/>
    </row>
    <row r="149" spans="1:5" x14ac:dyDescent="0.25">
      <c r="A149" s="6" t="s">
        <v>56</v>
      </c>
      <c r="B149" s="11">
        <f>1253*0.71</f>
        <v>889.63</v>
      </c>
      <c r="C149" s="11">
        <f>1642368*0.74</f>
        <v>1215352.3200000001</v>
      </c>
      <c r="E149" s="19"/>
    </row>
    <row r="150" spans="1:5" x14ac:dyDescent="0.25">
      <c r="A150" s="7" t="s">
        <v>57</v>
      </c>
      <c r="B150" s="8"/>
      <c r="C150" s="8"/>
      <c r="E150" s="18"/>
    </row>
    <row r="151" spans="1:5" x14ac:dyDescent="0.25">
      <c r="A151" s="7" t="s">
        <v>58</v>
      </c>
      <c r="B151" s="8"/>
      <c r="C151" s="8"/>
      <c r="E151" s="18"/>
    </row>
    <row r="152" spans="1:5" x14ac:dyDescent="0.25">
      <c r="A152" s="7" t="s">
        <v>59</v>
      </c>
      <c r="B152" s="8"/>
      <c r="C152" s="8"/>
      <c r="E152" s="18"/>
    </row>
    <row r="153" spans="1:5" x14ac:dyDescent="0.25">
      <c r="A153" s="7" t="s">
        <v>60</v>
      </c>
      <c r="B153" s="8"/>
      <c r="C153" s="8"/>
      <c r="E153" s="18"/>
    </row>
    <row r="154" spans="1:5" x14ac:dyDescent="0.25">
      <c r="A154" s="7" t="s">
        <v>167</v>
      </c>
      <c r="B154" s="8"/>
      <c r="C154" s="8"/>
      <c r="E154" s="18"/>
    </row>
    <row r="155" spans="1:5" x14ac:dyDescent="0.25">
      <c r="B155" s="8"/>
      <c r="C155" s="8"/>
      <c r="E155" s="18"/>
    </row>
    <row r="156" spans="1:5" ht="13" x14ac:dyDescent="0.3">
      <c r="A156" s="10" t="s">
        <v>127</v>
      </c>
      <c r="B156" s="8"/>
      <c r="C156" s="8"/>
      <c r="E156" s="18"/>
    </row>
    <row r="157" spans="1:5" x14ac:dyDescent="0.25">
      <c r="A157" s="6" t="s">
        <v>133</v>
      </c>
      <c r="B157" s="11">
        <f>58143*0.06</f>
        <v>3488.58</v>
      </c>
      <c r="C157" s="11">
        <f>10610231*0.11</f>
        <v>1167125.4099999999</v>
      </c>
      <c r="E157" s="19"/>
    </row>
    <row r="158" spans="1:5" x14ac:dyDescent="0.25">
      <c r="A158" s="7" t="s">
        <v>134</v>
      </c>
      <c r="B158" s="8"/>
      <c r="C158" s="8"/>
      <c r="E158" s="18"/>
    </row>
    <row r="159" spans="1:5" x14ac:dyDescent="0.25">
      <c r="A159" s="7" t="s">
        <v>131</v>
      </c>
      <c r="B159" s="8"/>
      <c r="C159" s="8"/>
      <c r="E159" s="18"/>
    </row>
    <row r="160" spans="1:5" x14ac:dyDescent="0.25">
      <c r="A160" s="7" t="s">
        <v>132</v>
      </c>
      <c r="B160" s="8"/>
      <c r="C160" s="8"/>
      <c r="E160" s="18"/>
    </row>
    <row r="161" spans="1:5" x14ac:dyDescent="0.25">
      <c r="A161" s="7" t="s">
        <v>134</v>
      </c>
      <c r="B161" s="8"/>
      <c r="C161" s="8"/>
      <c r="E161" s="18"/>
    </row>
    <row r="162" spans="1:5" x14ac:dyDescent="0.25">
      <c r="B162" s="8"/>
      <c r="C162" s="8"/>
      <c r="E162" s="18"/>
    </row>
    <row r="163" spans="1:5" x14ac:dyDescent="0.25">
      <c r="A163" s="6" t="s">
        <v>168</v>
      </c>
      <c r="B163" s="11">
        <v>130</v>
      </c>
      <c r="C163" s="11">
        <v>15463</v>
      </c>
      <c r="E163" s="19"/>
    </row>
    <row r="164" spans="1:5" x14ac:dyDescent="0.25">
      <c r="A164" s="7" t="s">
        <v>111</v>
      </c>
      <c r="B164" s="8"/>
      <c r="C164" s="8"/>
      <c r="E164" s="18"/>
    </row>
    <row r="165" spans="1:5" x14ac:dyDescent="0.25">
      <c r="A165" s="7" t="s">
        <v>112</v>
      </c>
      <c r="B165" s="8"/>
      <c r="C165" s="8"/>
      <c r="E165" s="18"/>
    </row>
    <row r="166" spans="1:5" x14ac:dyDescent="0.25">
      <c r="A166" s="7" t="s">
        <v>113</v>
      </c>
      <c r="B166" s="8"/>
      <c r="C166" s="8"/>
      <c r="E166" s="18"/>
    </row>
    <row r="167" spans="1:5" x14ac:dyDescent="0.25">
      <c r="A167" s="7" t="s">
        <v>114</v>
      </c>
      <c r="B167" s="8"/>
      <c r="C167" s="8"/>
      <c r="E167" s="18"/>
    </row>
    <row r="168" spans="1:5" x14ac:dyDescent="0.25">
      <c r="A168" s="7" t="s">
        <v>137</v>
      </c>
      <c r="B168" s="8"/>
      <c r="C168" s="8"/>
      <c r="E168" s="18"/>
    </row>
    <row r="169" spans="1:5" x14ac:dyDescent="0.25">
      <c r="B169" s="8"/>
      <c r="C169" s="8"/>
      <c r="E169" s="18"/>
    </row>
    <row r="170" spans="1:5" ht="13" x14ac:dyDescent="0.3">
      <c r="A170" s="1" t="s">
        <v>169</v>
      </c>
      <c r="B170" s="9">
        <f>SUM(B7:B169)</f>
        <v>314585.65750000003</v>
      </c>
      <c r="C170" s="9">
        <f>SUM(C7:C169)</f>
        <v>81204347.032499999</v>
      </c>
      <c r="E170" s="81"/>
    </row>
    <row r="171" spans="1:5" x14ac:dyDescent="0.25">
      <c r="B171" s="8"/>
      <c r="C171" s="8"/>
      <c r="E171" s="18"/>
    </row>
    <row r="172" spans="1:5" x14ac:dyDescent="0.25">
      <c r="B172" s="8"/>
      <c r="C172" s="8"/>
      <c r="E172" s="18"/>
    </row>
    <row r="173" spans="1:5" x14ac:dyDescent="0.25">
      <c r="B173" s="8"/>
      <c r="C173" s="8"/>
      <c r="E173" s="18"/>
    </row>
    <row r="174" spans="1:5" ht="13" x14ac:dyDescent="0.3">
      <c r="A174" s="10" t="s">
        <v>136</v>
      </c>
      <c r="B174" s="97" t="s">
        <v>128</v>
      </c>
      <c r="C174" s="8"/>
      <c r="E174" s="83" t="s">
        <v>233</v>
      </c>
    </row>
    <row r="175" spans="1:5" ht="13" x14ac:dyDescent="0.3">
      <c r="A175" s="12" t="s">
        <v>140</v>
      </c>
      <c r="B175" s="14">
        <v>101</v>
      </c>
      <c r="C175" s="8"/>
      <c r="E175" s="19"/>
    </row>
    <row r="176" spans="1:5" ht="13" x14ac:dyDescent="0.3">
      <c r="A176" s="12" t="s">
        <v>139</v>
      </c>
      <c r="B176" s="14">
        <v>48</v>
      </c>
      <c r="C176" s="8"/>
      <c r="E176" s="19"/>
    </row>
    <row r="177" spans="1:6" ht="13" x14ac:dyDescent="0.3">
      <c r="A177" s="12" t="s">
        <v>141</v>
      </c>
      <c r="B177" s="14">
        <v>3</v>
      </c>
      <c r="C177" s="8"/>
      <c r="E177" s="19"/>
    </row>
    <row r="178" spans="1:6" ht="13" x14ac:dyDescent="0.3">
      <c r="A178" s="12" t="s">
        <v>144</v>
      </c>
      <c r="B178" s="14">
        <v>10</v>
      </c>
      <c r="C178" s="13"/>
      <c r="E178" s="19"/>
    </row>
    <row r="179" spans="1:6" ht="13" x14ac:dyDescent="0.3">
      <c r="A179" s="12" t="s">
        <v>170</v>
      </c>
      <c r="B179" s="14">
        <v>2</v>
      </c>
      <c r="C179" s="13"/>
      <c r="E179" s="19"/>
    </row>
    <row r="180" spans="1:6" ht="13" x14ac:dyDescent="0.3">
      <c r="A180" s="12" t="s">
        <v>171</v>
      </c>
      <c r="B180" s="14">
        <v>4</v>
      </c>
      <c r="C180" s="13"/>
      <c r="E180" s="19"/>
    </row>
    <row r="181" spans="1:6" ht="13" x14ac:dyDescent="0.3">
      <c r="A181" s="12" t="s">
        <v>172</v>
      </c>
      <c r="B181" s="14">
        <v>2</v>
      </c>
      <c r="C181" s="13"/>
      <c r="E181" s="19"/>
    </row>
    <row r="182" spans="1:6" ht="13" x14ac:dyDescent="0.3">
      <c r="A182" s="12" t="s">
        <v>138</v>
      </c>
      <c r="B182" s="14">
        <v>2</v>
      </c>
      <c r="C182" s="13"/>
      <c r="E182" s="19"/>
    </row>
    <row r="183" spans="1:6" ht="13" x14ac:dyDescent="0.3">
      <c r="A183" s="12" t="s">
        <v>173</v>
      </c>
      <c r="B183" s="14">
        <v>8</v>
      </c>
      <c r="C183" s="13"/>
      <c r="E183" s="19"/>
    </row>
    <row r="184" spans="1:6" ht="13" x14ac:dyDescent="0.3">
      <c r="A184" s="12" t="s">
        <v>174</v>
      </c>
      <c r="B184" s="14"/>
      <c r="C184" s="13"/>
      <c r="E184" s="18"/>
    </row>
    <row r="185" spans="1:6" ht="13" x14ac:dyDescent="0.3">
      <c r="A185" s="12"/>
      <c r="B185" s="14"/>
      <c r="C185" s="13"/>
      <c r="E185" s="18"/>
    </row>
    <row r="186" spans="1:6" ht="13" x14ac:dyDescent="0.3">
      <c r="A186" s="15" t="s">
        <v>135</v>
      </c>
      <c r="B186" s="14"/>
      <c r="C186" s="13"/>
      <c r="E186" s="18"/>
    </row>
    <row r="187" spans="1:6" ht="13" x14ac:dyDescent="0.3">
      <c r="A187" s="12" t="s">
        <v>143</v>
      </c>
      <c r="B187" s="14">
        <v>10</v>
      </c>
      <c r="C187" s="13"/>
      <c r="E187" s="19"/>
    </row>
    <row r="188" spans="1:6" ht="13" x14ac:dyDescent="0.3">
      <c r="A188" s="12" t="s">
        <v>142</v>
      </c>
      <c r="B188" s="14">
        <v>10</v>
      </c>
      <c r="C188" s="13"/>
      <c r="E188" s="19"/>
    </row>
    <row r="189" spans="1:6" x14ac:dyDescent="0.25">
      <c r="E189" s="82"/>
    </row>
    <row r="190" spans="1:6" x14ac:dyDescent="0.25">
      <c r="E190" s="88"/>
    </row>
    <row r="191" spans="1:6" x14ac:dyDescent="0.25">
      <c r="A191" s="89" t="s">
        <v>236</v>
      </c>
      <c r="B191" s="89"/>
      <c r="C191" s="89"/>
      <c r="D191" s="89"/>
      <c r="E191" s="90"/>
      <c r="F191" s="7" t="s">
        <v>176</v>
      </c>
    </row>
    <row r="192" spans="1:6" x14ac:dyDescent="0.25">
      <c r="A192" s="95" t="s">
        <v>237</v>
      </c>
      <c r="B192" s="95"/>
      <c r="C192" s="95"/>
      <c r="D192" s="95"/>
      <c r="E192" s="96">
        <f>E191*5</f>
        <v>0</v>
      </c>
    </row>
  </sheetData>
  <printOptions gridLines="1"/>
  <pageMargins left="0.19685039370078741" right="0.19685039370078741" top="0.23622047244094491" bottom="0.19685039370078741" header="0.15748031496062992" footer="0.15748031496062992"/>
  <pageSetup paperSize="8" scale="52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3818-03A5-474C-9626-6BB563B6D503}">
  <dimension ref="A1:C9"/>
  <sheetViews>
    <sheetView workbookViewId="0">
      <selection activeCell="C8" sqref="C8"/>
    </sheetView>
  </sheetViews>
  <sheetFormatPr defaultRowHeight="12.5" x14ac:dyDescent="0.25"/>
  <cols>
    <col min="1" max="1" width="76.7265625" customWidth="1"/>
  </cols>
  <sheetData>
    <row r="1" spans="1:3" ht="13" x14ac:dyDescent="0.3">
      <c r="A1" s="1" t="s">
        <v>228</v>
      </c>
    </row>
    <row r="2" spans="1:3" x14ac:dyDescent="0.25">
      <c r="B2" s="78" t="s">
        <v>229</v>
      </c>
    </row>
    <row r="3" spans="1:3" x14ac:dyDescent="0.25">
      <c r="A3" t="s">
        <v>226</v>
      </c>
      <c r="B3">
        <f>'Lot 1 Mobiles'!G68</f>
        <v>0</v>
      </c>
    </row>
    <row r="5" spans="1:3" x14ac:dyDescent="0.25">
      <c r="A5" t="s">
        <v>227</v>
      </c>
      <c r="B5">
        <f>'Lot 2 Landline &amp; Circuits'!E192</f>
        <v>0</v>
      </c>
    </row>
    <row r="7" spans="1:3" x14ac:dyDescent="0.25">
      <c r="A7" t="s">
        <v>238</v>
      </c>
      <c r="B7">
        <v>0</v>
      </c>
    </row>
    <row r="9" spans="1:3" ht="13" thickBot="1" x14ac:dyDescent="0.3">
      <c r="A9" t="s">
        <v>230</v>
      </c>
      <c r="B9" s="79">
        <f>SUM(B3:B8)</f>
        <v>0</v>
      </c>
      <c r="C9" s="7" t="s">
        <v>231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FAF5569D409E46A4EA2E230A876F30" ma:contentTypeVersion="19" ma:contentTypeDescription="Create a new document." ma:contentTypeScope="" ma:versionID="d757d6f0240f3ee1fa373da364a8905b">
  <xsd:schema xmlns:xsd="http://www.w3.org/2001/XMLSchema" xmlns:xs="http://www.w3.org/2001/XMLSchema" xmlns:p="http://schemas.microsoft.com/office/2006/metadata/properties" xmlns:ns2="4c6b106c-f30d-47e2-96d5-f9b19e556c93" xmlns:ns3="8c5bebd3-6d3d-4008-afc2-77873bd9e3fd" targetNamespace="http://schemas.microsoft.com/office/2006/metadata/properties" ma:root="true" ma:fieldsID="94828a94af89df77560e7805b3e66c2d" ns2:_="" ns3:_="">
    <xsd:import namespace="4c6b106c-f30d-47e2-96d5-f9b19e556c93"/>
    <xsd:import namespace="8c5bebd3-6d3d-4008-afc2-77873bd9e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b106c-f30d-47e2-96d5-f9b19e556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abcc29d-705b-4d01-88e8-60bebfcad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bebd3-6d3d-4008-afc2-77873bd9e3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4ccecef-2ed8-4a7d-8997-6bc8feb91ec2}" ma:internalName="TaxCatchAll" ma:showField="CatchAllData" ma:web="8c5bebd3-6d3d-4008-afc2-77873bd9e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b106c-f30d-47e2-96d5-f9b19e556c93">
      <Terms xmlns="http://schemas.microsoft.com/office/infopath/2007/PartnerControls"/>
    </lcf76f155ced4ddcb4097134ff3c332f>
    <TaxCatchAll xmlns="8c5bebd3-6d3d-4008-afc2-77873bd9e3fd" xsi:nil="true"/>
  </documentManagement>
</p:properties>
</file>

<file path=customXml/itemProps1.xml><?xml version="1.0" encoding="utf-8"?>
<ds:datastoreItem xmlns:ds="http://schemas.openxmlformats.org/officeDocument/2006/customXml" ds:itemID="{83C53D77-1611-4035-9608-833666810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80383-ADB8-4984-8FFD-5712A4BDA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b106c-f30d-47e2-96d5-f9b19e556c93"/>
    <ds:schemaRef ds:uri="8c5bebd3-6d3d-4008-afc2-77873bd9e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7A149F-5610-41D1-837C-CB8EDAAD8519}">
  <ds:schemaRefs>
    <ds:schemaRef ds:uri="http://schemas.microsoft.com/office/2006/metadata/properties"/>
    <ds:schemaRef ds:uri="http://schemas.microsoft.com/office/infopath/2007/PartnerControls"/>
    <ds:schemaRef ds:uri="4c6b106c-f30d-47e2-96d5-f9b19e556c93"/>
    <ds:schemaRef ds:uri="8c5bebd3-6d3d-4008-afc2-77873bd9e3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Lot 1 Mobiles</vt:lpstr>
      <vt:lpstr>Lot 2 Landline &amp; Circuits</vt:lpstr>
      <vt:lpstr>Lot 3 Combined</vt:lpstr>
      <vt:lpstr>'Lot 1 Mobiles'!Print_Area</vt:lpstr>
      <vt:lpstr>'Lot 2 Landline &amp; Circuits'!Print_Area</vt:lpstr>
    </vt:vector>
  </TitlesOfParts>
  <Company>Radio Telefis Eireann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RTE</dc:creator>
  <cp:lastModifiedBy>Joe Lavelle</cp:lastModifiedBy>
  <cp:lastPrinted>2016-01-27T11:00:59Z</cp:lastPrinted>
  <dcterms:created xsi:type="dcterms:W3CDTF">2008-07-09T09:08:10Z</dcterms:created>
  <dcterms:modified xsi:type="dcterms:W3CDTF">2026-07-30T15:20:51Z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0x01010051FAF5569D409E46A4EA2E230A876F30</vt:lpwstr>
  </property>
</Properties>
</file>